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hidePivotFieldList="1" defaultThemeVersion="124226"/>
  <bookViews>
    <workbookView xWindow="240" yWindow="48" windowWidth="20124" windowHeight="7716" tabRatio="767"/>
  </bookViews>
  <sheets>
    <sheet name="Introduction" sheetId="6" r:id="rId1"/>
    <sheet name="Instructions" sheetId="36" r:id="rId2"/>
    <sheet name="ChangeLog" sheetId="61" r:id="rId3"/>
    <sheet name="Assumptions" sheetId="62" r:id="rId4"/>
    <sheet name="Inputs--&gt;" sheetId="38" r:id="rId5"/>
    <sheet name="Historical_Rev" sheetId="60" r:id="rId6"/>
    <sheet name="Historical_FTE" sheetId="35" r:id="rId7"/>
    <sheet name="Historical_COCOMO" sheetId="34" r:id="rId8"/>
    <sheet name="InterimSummary" sheetId="63" r:id="rId9"/>
    <sheet name="Ongoing_Dev" sheetId="59" r:id="rId10"/>
    <sheet name="Output--&gt;" sheetId="37" r:id="rId11"/>
    <sheet name="Results_Summary" sheetId="33" r:id="rId12"/>
    <sheet name="Visuals--&gt;" sheetId="39" r:id="rId13"/>
    <sheet name="Summary_Retro" sheetId="49" r:id="rId14"/>
    <sheet name="Summary_Ongoing" sheetId="47" r:id="rId15"/>
    <sheet name="Summary_FTEs" sheetId="48" r:id="rId16"/>
    <sheet name="Background--&gt;" sheetId="52" r:id="rId17"/>
    <sheet name="Approach" sheetId="56" r:id="rId18"/>
    <sheet name="Retro_FTE_desc" sheetId="53" r:id="rId19"/>
    <sheet name="Retro_Rev_desc" sheetId="55" r:id="rId20"/>
    <sheet name="Retro_COCOMO_desc" sheetId="42" r:id="rId21"/>
    <sheet name="Ongoing_Desc" sheetId="58" r:id="rId22"/>
  </sheets>
  <definedNames>
    <definedName name="_xlnm._FilterDatabase" localSheetId="9" hidden="1">Ongoing_Dev!$C$29:$C$30</definedName>
    <definedName name="_xlnm._FilterDatabase" localSheetId="14" hidden="1">Summary_Ongoing!$B$2:$B$3</definedName>
    <definedName name="MODP" localSheetId="7">Historical_COCOMO!$D$65</definedName>
    <definedName name="_xlnm.Print_Area" localSheetId="3">Assumptions!$A$1:$E$26</definedName>
    <definedName name="_xlnm.Print_Area" localSheetId="2">ChangeLog!$A$1:$F$35</definedName>
    <definedName name="_xlnm.Print_Area" localSheetId="1">Instructions!$A$1:$R$48</definedName>
    <definedName name="_xlnm.Print_Area" localSheetId="8">InterimSummary!$A$1:$H$30</definedName>
    <definedName name="_xlnm.Print_Area" localSheetId="0">Introduction!$A$1:$D$27</definedName>
    <definedName name="_xlnm.Print_Area" localSheetId="9">Ongoing_Dev!$A$1:$K$70</definedName>
    <definedName name="_xlnm.Print_Area" localSheetId="11">Results_Summary!$B$2:$H$49</definedName>
    <definedName name="_xlnm.Print_Area" localSheetId="18">Retro_FTE_desc!$A$1:$Q$22</definedName>
    <definedName name="_xlnm.Print_Area" localSheetId="19">Retro_Rev_desc!$A$1:$Q$18</definedName>
    <definedName name="_xlnm.Print_Area" localSheetId="15">Summary_FTEs!$A$1:$V$62</definedName>
    <definedName name="_xlnm.Print_Area" localSheetId="14">Summary_Ongoing!$B$2:$M$31</definedName>
    <definedName name="_xlnm.Print_Area" localSheetId="13">Summary_Retro!$B$2:$L$24</definedName>
  </definedNames>
  <calcPr calcId="145621"/>
</workbook>
</file>

<file path=xl/calcChain.xml><?xml version="1.0" encoding="utf-8"?>
<calcChain xmlns="http://schemas.openxmlformats.org/spreadsheetml/2006/main">
  <c r="E25" i="60" l="1"/>
  <c r="E22" i="33" l="1"/>
  <c r="C9" i="33" l="1"/>
  <c r="G20" i="33"/>
  <c r="G13" i="33"/>
  <c r="J62" i="59"/>
  <c r="F53" i="34"/>
  <c r="F54" i="34"/>
  <c r="F56" i="34"/>
  <c r="F57" i="34"/>
  <c r="F59" i="34"/>
  <c r="F60" i="34"/>
  <c r="F61" i="34"/>
  <c r="F62" i="34"/>
  <c r="F63" i="34"/>
  <c r="F65" i="34"/>
  <c r="F66" i="34"/>
  <c r="F67" i="34"/>
  <c r="F83" i="34"/>
  <c r="F84" i="34"/>
  <c r="F85" i="34"/>
  <c r="D92" i="34"/>
  <c r="D93" i="34"/>
  <c r="L42" i="59"/>
  <c r="I42" i="59"/>
  <c r="G24" i="33"/>
  <c r="G23" i="33"/>
  <c r="G21" i="33"/>
  <c r="N73" i="60"/>
  <c r="N31" i="60"/>
  <c r="N33" i="60"/>
  <c r="N35" i="60"/>
  <c r="N37" i="60"/>
  <c r="N39" i="60"/>
  <c r="N41" i="60"/>
  <c r="N43" i="60"/>
  <c r="N45" i="60"/>
  <c r="N47" i="60"/>
  <c r="N49" i="60"/>
  <c r="N51" i="60"/>
  <c r="N53" i="60"/>
  <c r="N55" i="60"/>
  <c r="N57" i="60"/>
  <c r="N59" i="60"/>
  <c r="N61" i="60"/>
  <c r="N63" i="60"/>
  <c r="N65" i="60"/>
  <c r="N67" i="60"/>
  <c r="N69" i="60"/>
  <c r="N74" i="60"/>
  <c r="N72" i="60"/>
  <c r="N75" i="60"/>
  <c r="E11" i="63"/>
  <c r="D91" i="35"/>
  <c r="D92" i="35"/>
  <c r="D93" i="35"/>
  <c r="D94" i="35"/>
  <c r="D95" i="35"/>
  <c r="D96" i="35"/>
  <c r="D97" i="35"/>
  <c r="D98" i="35"/>
  <c r="D99" i="35"/>
  <c r="D100" i="35"/>
  <c r="D101" i="35"/>
  <c r="D102" i="35"/>
  <c r="D103" i="35"/>
  <c r="D104" i="35"/>
  <c r="D129" i="35"/>
  <c r="E91" i="35"/>
  <c r="E92" i="35"/>
  <c r="E93" i="35"/>
  <c r="E94" i="35"/>
  <c r="E95" i="35"/>
  <c r="E96" i="35"/>
  <c r="E97" i="35"/>
  <c r="E98" i="35"/>
  <c r="E99" i="35"/>
  <c r="E100" i="35"/>
  <c r="E101" i="35"/>
  <c r="E102" i="35"/>
  <c r="E103" i="35"/>
  <c r="E104" i="35"/>
  <c r="E129" i="35"/>
  <c r="F91" i="35"/>
  <c r="F92" i="35"/>
  <c r="F93" i="35"/>
  <c r="F94" i="35"/>
  <c r="F95" i="35"/>
  <c r="F96" i="35"/>
  <c r="F97" i="35"/>
  <c r="F98" i="35"/>
  <c r="F99" i="35"/>
  <c r="F100" i="35"/>
  <c r="F101" i="35"/>
  <c r="F102" i="35"/>
  <c r="F103" i="35"/>
  <c r="F104" i="35"/>
  <c r="F129" i="35"/>
  <c r="G91" i="35"/>
  <c r="G92" i="35"/>
  <c r="G93" i="35"/>
  <c r="G94" i="35"/>
  <c r="G95" i="35"/>
  <c r="G96" i="35"/>
  <c r="G97" i="35"/>
  <c r="G98" i="35"/>
  <c r="G99" i="35"/>
  <c r="G100" i="35"/>
  <c r="G101" i="35"/>
  <c r="G102" i="35"/>
  <c r="G103" i="35"/>
  <c r="G104" i="35"/>
  <c r="G129" i="35"/>
  <c r="H91" i="35"/>
  <c r="H92" i="35"/>
  <c r="H93" i="35"/>
  <c r="H94" i="35"/>
  <c r="H95" i="35"/>
  <c r="H96" i="35"/>
  <c r="H97" i="35"/>
  <c r="H98" i="35"/>
  <c r="H99" i="35"/>
  <c r="H100" i="35"/>
  <c r="H101" i="35"/>
  <c r="H102" i="35"/>
  <c r="H103" i="35"/>
  <c r="H104" i="35"/>
  <c r="H129" i="35"/>
  <c r="I91" i="35"/>
  <c r="I92" i="35"/>
  <c r="I93" i="35"/>
  <c r="I94" i="35"/>
  <c r="I95" i="35"/>
  <c r="I96" i="35"/>
  <c r="I97" i="35"/>
  <c r="I98" i="35"/>
  <c r="I99" i="35"/>
  <c r="I100" i="35"/>
  <c r="I101" i="35"/>
  <c r="I102" i="35"/>
  <c r="I103" i="35"/>
  <c r="I104" i="35"/>
  <c r="I129" i="35"/>
  <c r="J91" i="35"/>
  <c r="J92" i="35"/>
  <c r="J93" i="35"/>
  <c r="J94" i="35"/>
  <c r="J95" i="35"/>
  <c r="J96" i="35"/>
  <c r="J97" i="35"/>
  <c r="J98" i="35"/>
  <c r="J99" i="35"/>
  <c r="J100" i="35"/>
  <c r="J101" i="35"/>
  <c r="J102" i="35"/>
  <c r="J103" i="35"/>
  <c r="J104" i="35"/>
  <c r="J129" i="35"/>
  <c r="K91" i="35"/>
  <c r="K92" i="35"/>
  <c r="K93" i="35"/>
  <c r="K94" i="35"/>
  <c r="K95" i="35"/>
  <c r="K96" i="35"/>
  <c r="K97" i="35"/>
  <c r="K98" i="35"/>
  <c r="K99" i="35"/>
  <c r="K100" i="35"/>
  <c r="K101" i="35"/>
  <c r="K102" i="35"/>
  <c r="K103" i="35"/>
  <c r="K104" i="35"/>
  <c r="K129" i="35"/>
  <c r="L91" i="35"/>
  <c r="L92" i="35"/>
  <c r="L93" i="35"/>
  <c r="L94" i="35"/>
  <c r="L95" i="35"/>
  <c r="L96" i="35"/>
  <c r="L97" i="35"/>
  <c r="L98" i="35"/>
  <c r="L99" i="35"/>
  <c r="L100" i="35"/>
  <c r="L101" i="35"/>
  <c r="L102" i="35"/>
  <c r="L103" i="35"/>
  <c r="L104" i="35"/>
  <c r="L129" i="35"/>
  <c r="M91" i="35"/>
  <c r="M92" i="35"/>
  <c r="M93" i="35"/>
  <c r="M94" i="35"/>
  <c r="M95" i="35"/>
  <c r="M96" i="35"/>
  <c r="M97" i="35"/>
  <c r="M98" i="35"/>
  <c r="M99" i="35"/>
  <c r="M100" i="35"/>
  <c r="M101" i="35"/>
  <c r="M102" i="35"/>
  <c r="M103" i="35"/>
  <c r="M104" i="35"/>
  <c r="M129" i="35"/>
  <c r="N129" i="35"/>
  <c r="D110" i="35"/>
  <c r="D111" i="35"/>
  <c r="D112" i="35"/>
  <c r="D113" i="35"/>
  <c r="D114" i="35"/>
  <c r="D115" i="35"/>
  <c r="D116" i="35"/>
  <c r="D117" i="35"/>
  <c r="D118" i="35"/>
  <c r="D119" i="35"/>
  <c r="D120" i="35"/>
  <c r="D121" i="35"/>
  <c r="D122" i="35"/>
  <c r="D123" i="35"/>
  <c r="D130" i="35"/>
  <c r="E110" i="35"/>
  <c r="E111" i="35"/>
  <c r="E112" i="35"/>
  <c r="E113" i="35"/>
  <c r="E114" i="35"/>
  <c r="E115" i="35"/>
  <c r="E116" i="35"/>
  <c r="E117" i="35"/>
  <c r="E118" i="35"/>
  <c r="E119" i="35"/>
  <c r="E120" i="35"/>
  <c r="E121" i="35"/>
  <c r="E122" i="35"/>
  <c r="E123" i="35"/>
  <c r="E130" i="35"/>
  <c r="F110" i="35"/>
  <c r="F111" i="35"/>
  <c r="F112" i="35"/>
  <c r="F113" i="35"/>
  <c r="F114" i="35"/>
  <c r="F115" i="35"/>
  <c r="F116" i="35"/>
  <c r="F117" i="35"/>
  <c r="F118" i="35"/>
  <c r="F119" i="35"/>
  <c r="F120" i="35"/>
  <c r="F121" i="35"/>
  <c r="F122" i="35"/>
  <c r="F123" i="35"/>
  <c r="F130" i="35"/>
  <c r="G110" i="35"/>
  <c r="G111" i="35"/>
  <c r="G112" i="35"/>
  <c r="G113" i="35"/>
  <c r="G114" i="35"/>
  <c r="G115" i="35"/>
  <c r="G116" i="35"/>
  <c r="G117" i="35"/>
  <c r="G118" i="35"/>
  <c r="G119" i="35"/>
  <c r="G120" i="35"/>
  <c r="G121" i="35"/>
  <c r="G122" i="35"/>
  <c r="G123" i="35"/>
  <c r="G130" i="35"/>
  <c r="H110" i="35"/>
  <c r="H111" i="35"/>
  <c r="H112" i="35"/>
  <c r="H113" i="35"/>
  <c r="H114" i="35"/>
  <c r="H115" i="35"/>
  <c r="H116" i="35"/>
  <c r="H117" i="35"/>
  <c r="H118" i="35"/>
  <c r="H119" i="35"/>
  <c r="H120" i="35"/>
  <c r="H121" i="35"/>
  <c r="H122" i="35"/>
  <c r="H123" i="35"/>
  <c r="H130" i="35"/>
  <c r="I110" i="35"/>
  <c r="I111" i="35"/>
  <c r="I112" i="35"/>
  <c r="I113" i="35"/>
  <c r="I114" i="35"/>
  <c r="I115" i="35"/>
  <c r="I116" i="35"/>
  <c r="I117" i="35"/>
  <c r="I118" i="35"/>
  <c r="I119" i="35"/>
  <c r="I120" i="35"/>
  <c r="I121" i="35"/>
  <c r="I122" i="35"/>
  <c r="I123" i="35"/>
  <c r="I130" i="35"/>
  <c r="J110" i="35"/>
  <c r="J111" i="35"/>
  <c r="J112" i="35"/>
  <c r="J113" i="35"/>
  <c r="J114" i="35"/>
  <c r="J115" i="35"/>
  <c r="J116" i="35"/>
  <c r="J117" i="35"/>
  <c r="J118" i="35"/>
  <c r="J119" i="35"/>
  <c r="J120" i="35"/>
  <c r="J121" i="35"/>
  <c r="J122" i="35"/>
  <c r="J123" i="35"/>
  <c r="J130" i="35"/>
  <c r="K110" i="35"/>
  <c r="K111" i="35"/>
  <c r="K112" i="35"/>
  <c r="K113" i="35"/>
  <c r="K114" i="35"/>
  <c r="K115" i="35"/>
  <c r="K116" i="35"/>
  <c r="K117" i="35"/>
  <c r="K118" i="35"/>
  <c r="K119" i="35"/>
  <c r="K120" i="35"/>
  <c r="K121" i="35"/>
  <c r="K122" i="35"/>
  <c r="K123" i="35"/>
  <c r="K130" i="35"/>
  <c r="L110" i="35"/>
  <c r="L111" i="35"/>
  <c r="L112" i="35"/>
  <c r="L113" i="35"/>
  <c r="L114" i="35"/>
  <c r="L115" i="35"/>
  <c r="L116" i="35"/>
  <c r="L117" i="35"/>
  <c r="L118" i="35"/>
  <c r="L119" i="35"/>
  <c r="L120" i="35"/>
  <c r="L121" i="35"/>
  <c r="L122" i="35"/>
  <c r="L123" i="35"/>
  <c r="L130" i="35"/>
  <c r="M110" i="35"/>
  <c r="M111" i="35"/>
  <c r="M112" i="35"/>
  <c r="M113" i="35"/>
  <c r="M114" i="35"/>
  <c r="M115" i="35"/>
  <c r="M116" i="35"/>
  <c r="M117" i="35"/>
  <c r="M118" i="35"/>
  <c r="M119" i="35"/>
  <c r="M120" i="35"/>
  <c r="M121" i="35"/>
  <c r="M122" i="35"/>
  <c r="M123" i="35"/>
  <c r="M130" i="35"/>
  <c r="N130" i="35"/>
  <c r="N131" i="35"/>
  <c r="C34" i="35"/>
  <c r="C38" i="35"/>
  <c r="E12" i="63"/>
  <c r="M77" i="35"/>
  <c r="M84" i="35"/>
  <c r="L77" i="35"/>
  <c r="L84" i="35"/>
  <c r="K77" i="35"/>
  <c r="K84" i="35"/>
  <c r="J77" i="35"/>
  <c r="J84" i="35"/>
  <c r="I77" i="35"/>
  <c r="I84" i="35"/>
  <c r="H77" i="35"/>
  <c r="H84" i="35"/>
  <c r="G77" i="35"/>
  <c r="G84" i="35"/>
  <c r="F77" i="35"/>
  <c r="F84" i="35"/>
  <c r="E77" i="35"/>
  <c r="E84" i="35"/>
  <c r="D77" i="35"/>
  <c r="D84" i="35"/>
  <c r="M57" i="35"/>
  <c r="M83" i="35"/>
  <c r="L57" i="35"/>
  <c r="L83" i="35"/>
  <c r="K57" i="35"/>
  <c r="K83" i="35"/>
  <c r="J57" i="35"/>
  <c r="J83" i="35"/>
  <c r="I57" i="35"/>
  <c r="I83" i="35"/>
  <c r="H57" i="35"/>
  <c r="H83" i="35"/>
  <c r="G57" i="35"/>
  <c r="G83" i="35"/>
  <c r="F57" i="35"/>
  <c r="F83" i="35"/>
  <c r="E57" i="35"/>
  <c r="E83" i="35"/>
  <c r="D57" i="35"/>
  <c r="D83" i="35"/>
  <c r="J15" i="59"/>
  <c r="I62" i="59"/>
  <c r="J57" i="59"/>
  <c r="J58" i="59"/>
  <c r="J59" i="59"/>
  <c r="J60" i="59"/>
  <c r="J61" i="59"/>
  <c r="E6" i="33"/>
  <c r="E7" i="33"/>
  <c r="B2" i="34"/>
  <c r="A6" i="62"/>
  <c r="A7" i="62"/>
  <c r="A8" i="62"/>
  <c r="A9" i="62"/>
  <c r="A10" i="62"/>
  <c r="A11" i="62"/>
  <c r="A12" i="62"/>
  <c r="A13" i="62"/>
  <c r="A14" i="62"/>
  <c r="A18" i="62"/>
  <c r="A19" i="62"/>
  <c r="A20" i="62"/>
  <c r="A21" i="62"/>
  <c r="A22" i="62"/>
  <c r="A23" i="62"/>
  <c r="A24" i="62"/>
  <c r="A25" i="62"/>
  <c r="A26" i="62"/>
  <c r="A35" i="61"/>
  <c r="A33" i="61"/>
  <c r="A34" i="61"/>
  <c r="A26" i="61"/>
  <c r="A27" i="61"/>
  <c r="A28" i="61"/>
  <c r="A29" i="61"/>
  <c r="A30" i="61"/>
  <c r="A31" i="61"/>
  <c r="A32" i="61"/>
  <c r="A7" i="61"/>
  <c r="A8" i="61"/>
  <c r="A9" i="61"/>
  <c r="A10" i="61"/>
  <c r="A11" i="61"/>
  <c r="A12" i="61"/>
  <c r="A13" i="61"/>
  <c r="A14" i="61"/>
  <c r="A15" i="61"/>
  <c r="A16" i="61"/>
  <c r="A17" i="61"/>
  <c r="A18" i="61"/>
  <c r="A19" i="61"/>
  <c r="A20" i="61"/>
  <c r="A21" i="61"/>
  <c r="A22" i="61"/>
  <c r="A23" i="61"/>
  <c r="A24" i="61"/>
  <c r="A25" i="61"/>
  <c r="E21" i="33"/>
  <c r="E23" i="33"/>
  <c r="E24" i="33"/>
  <c r="E25" i="33"/>
  <c r="G25" i="33" s="1"/>
  <c r="E28" i="33"/>
  <c r="D28" i="33"/>
  <c r="C12" i="63"/>
  <c r="J131" i="35"/>
  <c r="J132" i="35"/>
  <c r="M131" i="35"/>
  <c r="M132" i="35"/>
  <c r="L131" i="35"/>
  <c r="L132" i="35"/>
  <c r="K131" i="35"/>
  <c r="K132" i="35"/>
  <c r="I131" i="35"/>
  <c r="I132" i="35"/>
  <c r="H131" i="35"/>
  <c r="H132" i="35"/>
  <c r="G131" i="35"/>
  <c r="G132" i="35"/>
  <c r="M124" i="35"/>
  <c r="L124" i="35"/>
  <c r="K124" i="35"/>
  <c r="J124" i="35"/>
  <c r="M105" i="35"/>
  <c r="L105" i="35"/>
  <c r="K105" i="35"/>
  <c r="J105" i="35"/>
  <c r="M85" i="35"/>
  <c r="M86" i="35"/>
  <c r="L85" i="35"/>
  <c r="L86" i="35"/>
  <c r="K85" i="35"/>
  <c r="K86" i="35"/>
  <c r="J85" i="35"/>
  <c r="J86" i="35"/>
  <c r="M53" i="60"/>
  <c r="M49" i="60"/>
  <c r="M33" i="60"/>
  <c r="M37" i="60"/>
  <c r="M41" i="60"/>
  <c r="M45" i="60"/>
  <c r="M57" i="60"/>
  <c r="M61" i="60"/>
  <c r="M65" i="60"/>
  <c r="M69" i="60"/>
  <c r="M74" i="60"/>
  <c r="M72" i="60"/>
  <c r="M73" i="60"/>
  <c r="L72" i="60"/>
  <c r="L53" i="60"/>
  <c r="L49" i="60"/>
  <c r="L33" i="60"/>
  <c r="L37" i="60"/>
  <c r="L41" i="60"/>
  <c r="L45" i="60"/>
  <c r="L57" i="60"/>
  <c r="L61" i="60"/>
  <c r="L65" i="60"/>
  <c r="L69" i="60"/>
  <c r="L74" i="60"/>
  <c r="L73" i="60"/>
  <c r="J53" i="60"/>
  <c r="J49" i="60"/>
  <c r="J33" i="60"/>
  <c r="J37" i="60"/>
  <c r="J41" i="60"/>
  <c r="J45" i="60"/>
  <c r="J57" i="60"/>
  <c r="J61" i="60"/>
  <c r="J65" i="60"/>
  <c r="J69" i="60"/>
  <c r="J74" i="60"/>
  <c r="J72" i="60"/>
  <c r="J73" i="60"/>
  <c r="I53" i="60"/>
  <c r="I49" i="60"/>
  <c r="I33" i="60"/>
  <c r="I37" i="60"/>
  <c r="I41" i="60"/>
  <c r="I45" i="60"/>
  <c r="I57" i="60"/>
  <c r="I61" i="60"/>
  <c r="I65" i="60"/>
  <c r="I69" i="60"/>
  <c r="I74" i="60"/>
  <c r="I72" i="60"/>
  <c r="I73" i="60"/>
  <c r="H53" i="60"/>
  <c r="H49" i="60"/>
  <c r="H33" i="60"/>
  <c r="H37" i="60"/>
  <c r="H41" i="60"/>
  <c r="H45" i="60"/>
  <c r="H57" i="60"/>
  <c r="H61" i="60"/>
  <c r="H65" i="60"/>
  <c r="H69" i="60"/>
  <c r="H74" i="60"/>
  <c r="H72" i="60"/>
  <c r="H73" i="60"/>
  <c r="G53" i="60"/>
  <c r="G49" i="60"/>
  <c r="G33" i="60"/>
  <c r="G37" i="60"/>
  <c r="G41" i="60"/>
  <c r="G45" i="60"/>
  <c r="G57" i="60"/>
  <c r="G61" i="60"/>
  <c r="G65" i="60"/>
  <c r="G69" i="60"/>
  <c r="G74" i="60"/>
  <c r="G72" i="60"/>
  <c r="G73" i="60"/>
  <c r="F53" i="60"/>
  <c r="F49" i="60"/>
  <c r="F33" i="60"/>
  <c r="F37" i="60"/>
  <c r="F41" i="60"/>
  <c r="F45" i="60"/>
  <c r="F57" i="60"/>
  <c r="F61" i="60"/>
  <c r="F65" i="60"/>
  <c r="F69" i="60"/>
  <c r="F74" i="60"/>
  <c r="F72" i="60"/>
  <c r="F73" i="60"/>
  <c r="E53" i="60"/>
  <c r="E49" i="60"/>
  <c r="E33" i="60"/>
  <c r="E37" i="60"/>
  <c r="E41" i="60"/>
  <c r="E45" i="60"/>
  <c r="E57" i="60"/>
  <c r="E61" i="60"/>
  <c r="E65" i="60"/>
  <c r="E69" i="60"/>
  <c r="E74" i="60"/>
  <c r="E75" i="60" s="1"/>
  <c r="C16" i="38" s="1" a="1"/>
  <c r="C16" i="38" s="1"/>
  <c r="E72" i="60"/>
  <c r="E73" i="60"/>
  <c r="D53" i="60"/>
  <c r="D49" i="60"/>
  <c r="D33" i="60"/>
  <c r="D37" i="60"/>
  <c r="D41" i="60"/>
  <c r="D45" i="60"/>
  <c r="D57" i="60"/>
  <c r="D61" i="60"/>
  <c r="D65" i="60"/>
  <c r="D69" i="60"/>
  <c r="D74" i="60"/>
  <c r="D72" i="60"/>
  <c r="D73" i="60"/>
  <c r="K72" i="60"/>
  <c r="K53" i="60"/>
  <c r="K49" i="60"/>
  <c r="K33" i="60"/>
  <c r="K37" i="60"/>
  <c r="K41" i="60"/>
  <c r="K45" i="60"/>
  <c r="K57" i="60"/>
  <c r="K61" i="60"/>
  <c r="K65" i="60"/>
  <c r="K69" i="60"/>
  <c r="K74" i="60"/>
  <c r="K73" i="60"/>
  <c r="M75" i="60"/>
  <c r="L75" i="60"/>
  <c r="K75" i="60"/>
  <c r="J75" i="60"/>
  <c r="I75" i="60"/>
  <c r="H75" i="60"/>
  <c r="G75" i="60"/>
  <c r="F75" i="60"/>
  <c r="D75" i="60"/>
  <c r="Q5" i="47"/>
  <c r="R5" i="47"/>
  <c r="S5" i="47"/>
  <c r="T5" i="47"/>
  <c r="U5" i="47"/>
  <c r="R7" i="47"/>
  <c r="M42" i="59"/>
  <c r="N91" i="35"/>
  <c r="N92" i="35"/>
  <c r="N93" i="35"/>
  <c r="N94" i="35"/>
  <c r="N95" i="35"/>
  <c r="N96" i="35"/>
  <c r="N97" i="35"/>
  <c r="N98" i="35"/>
  <c r="N99" i="35"/>
  <c r="N100" i="35"/>
  <c r="N101" i="35"/>
  <c r="N102" i="35"/>
  <c r="N103" i="35"/>
  <c r="N104" i="35"/>
  <c r="C32" i="35"/>
  <c r="N110" i="35"/>
  <c r="N111" i="35"/>
  <c r="N112" i="35"/>
  <c r="N113" i="35"/>
  <c r="N114" i="35"/>
  <c r="N115" i="35"/>
  <c r="N116" i="35"/>
  <c r="N117" i="35"/>
  <c r="N118" i="35"/>
  <c r="N119" i="35"/>
  <c r="N120" i="35"/>
  <c r="N121" i="35"/>
  <c r="N122" i="35"/>
  <c r="N123" i="35"/>
  <c r="C33" i="35"/>
  <c r="C35" i="35"/>
  <c r="D85" i="35"/>
  <c r="D86" i="35"/>
  <c r="E85" i="35"/>
  <c r="E86" i="35"/>
  <c r="F85" i="35"/>
  <c r="F86" i="35"/>
  <c r="G85" i="35"/>
  <c r="G86" i="35"/>
  <c r="H85" i="35"/>
  <c r="H86" i="35"/>
  <c r="I85" i="35"/>
  <c r="I86" i="35"/>
  <c r="D124" i="35"/>
  <c r="E124" i="35"/>
  <c r="F124" i="35"/>
  <c r="G124" i="35"/>
  <c r="H124" i="35"/>
  <c r="I124" i="35"/>
  <c r="N124" i="35"/>
  <c r="D131" i="35"/>
  <c r="D132" i="35"/>
  <c r="E131" i="35"/>
  <c r="E132" i="35"/>
  <c r="F131" i="35"/>
  <c r="F132" i="35"/>
  <c r="N132" i="35"/>
  <c r="D105" i="35"/>
  <c r="E105" i="35"/>
  <c r="F105" i="35"/>
  <c r="G105" i="35"/>
  <c r="H105" i="35"/>
  <c r="I105" i="35"/>
  <c r="N105" i="35"/>
  <c r="C17" i="38" a="1"/>
  <c r="C17" i="38"/>
  <c r="C7" i="33"/>
  <c r="B112" i="35"/>
  <c r="B111" i="35"/>
  <c r="B110" i="35"/>
  <c r="C1" i="6"/>
  <c r="B3" i="48"/>
  <c r="B2" i="48"/>
  <c r="B3" i="47"/>
  <c r="B2" i="47"/>
  <c r="B3" i="49"/>
  <c r="B2" i="49"/>
  <c r="B3" i="33"/>
  <c r="B4" i="33"/>
  <c r="B2" i="59"/>
  <c r="B2" i="35"/>
  <c r="B3" i="35"/>
  <c r="B3" i="34"/>
  <c r="B3" i="59"/>
  <c r="B2" i="60"/>
  <c r="B3" i="60"/>
  <c r="B93" i="35"/>
  <c r="B92" i="35"/>
  <c r="B91" i="35"/>
  <c r="G22" i="33" l="1"/>
  <c r="F68" i="34"/>
  <c r="D33" i="34" s="1"/>
  <c r="D94" i="34" s="1"/>
  <c r="D34" i="34" s="1"/>
  <c r="D37" i="34" s="1"/>
  <c r="F69" i="34" l="1"/>
  <c r="C18" i="38" s="1" a="1"/>
  <c r="C18" i="38" s="1"/>
  <c r="C25" i="34"/>
  <c r="E13" i="63"/>
  <c r="E8" i="33"/>
  <c r="D40" i="34"/>
  <c r="E9" i="33" l="1"/>
  <c r="F28" i="33" s="1"/>
  <c r="C26" i="34"/>
  <c r="E14" i="63"/>
  <c r="E16" i="63" s="1"/>
  <c r="E27" i="63" s="1"/>
  <c r="J17" i="59" s="1"/>
  <c r="J18" i="59" s="1"/>
  <c r="J25" i="59" s="1"/>
  <c r="E10" i="33" l="1" a="1"/>
  <c r="E10" i="33" s="1"/>
  <c r="T4" i="49" s="1"/>
  <c r="E17" i="63"/>
  <c r="E11" i="33" a="1"/>
  <c r="E11" i="33" s="1"/>
  <c r="G28" i="33" s="1" a="1"/>
  <c r="G28" i="33" s="1"/>
  <c r="J39" i="59"/>
  <c r="J38" i="59"/>
  <c r="J37" i="59"/>
  <c r="J40" i="59"/>
  <c r="R4" i="49" l="1"/>
  <c r="Q4" i="49"/>
  <c r="S4" i="49"/>
  <c r="E17" i="33"/>
  <c r="T4" i="47"/>
  <c r="T6" i="47" s="1"/>
  <c r="E14" i="33"/>
  <c r="Q4" i="47"/>
  <c r="J41" i="59"/>
  <c r="E15" i="33"/>
  <c r="R4" i="47"/>
  <c r="R6" i="47" s="1"/>
  <c r="E16" i="33"/>
  <c r="G16" i="33" s="1"/>
  <c r="S4" i="47"/>
  <c r="S6" i="47" s="1"/>
  <c r="H28" i="33" l="1"/>
  <c r="Q7" i="47"/>
  <c r="I28" i="33"/>
  <c r="D15" i="38" s="1"/>
  <c r="J42" i="59"/>
  <c r="C19" i="38" s="1" a="1"/>
  <c r="C19" i="38" s="1"/>
  <c r="Q6" i="47"/>
  <c r="R3" i="47"/>
  <c r="U4" i="47"/>
  <c r="E18" i="33"/>
  <c r="G17" i="33" s="1"/>
  <c r="G14" i="33" l="1"/>
  <c r="G15" i="33"/>
  <c r="U6" i="47"/>
  <c r="S7" i="47" s="1"/>
  <c r="C21" i="38" s="1" a="1"/>
  <c r="C21" i="38" s="1"/>
  <c r="Y6" i="47"/>
  <c r="Z6" i="47" s="1"/>
  <c r="E27" i="33"/>
  <c r="C28" i="33" s="1"/>
  <c r="C20" i="38" s="1" a="1"/>
  <c r="C20" i="38" s="1"/>
  <c r="G18" i="33"/>
  <c r="V3" i="47"/>
  <c r="W3" i="47" s="1"/>
  <c r="S3" i="47"/>
  <c r="W4" i="47" l="1"/>
  <c r="X4" i="47" s="1"/>
  <c r="T3" i="47"/>
  <c r="X5" i="47" s="1"/>
  <c r="Y5" i="47" s="1"/>
</calcChain>
</file>

<file path=xl/comments1.xml><?xml version="1.0" encoding="utf-8"?>
<comments xmlns="http://schemas.openxmlformats.org/spreadsheetml/2006/main">
  <authors>
    <author>Martin, Leslie</author>
  </authors>
  <commentList>
    <comment ref="J17" authorId="0">
      <text>
        <r>
          <rPr>
            <b/>
            <sz val="9"/>
            <color indexed="81"/>
            <rFont val="Tahoma"/>
            <family val="2"/>
          </rPr>
          <t xml:space="preserve">User Note: </t>
        </r>
        <r>
          <rPr>
            <sz val="9"/>
            <color indexed="81"/>
            <rFont val="Tahoma"/>
            <family val="2"/>
          </rPr>
          <t>Linked to the average of the retrospective development costs</t>
        </r>
      </text>
    </comment>
    <comment ref="J18" authorId="0">
      <text>
        <r>
          <rPr>
            <b/>
            <sz val="9"/>
            <color indexed="81"/>
            <rFont val="Tahoma"/>
            <family val="2"/>
          </rPr>
          <t>User note:</t>
        </r>
        <r>
          <rPr>
            <sz val="9"/>
            <color indexed="81"/>
            <rFont val="Tahoma"/>
            <family val="2"/>
          </rPr>
          <t xml:space="preserve">
User can leave as-is to use the above average (=I32), or can overwrite desired value in this cell for use in formula below</t>
        </r>
      </text>
    </comment>
    <comment ref="J25" authorId="0">
      <text>
        <r>
          <rPr>
            <b/>
            <sz val="9"/>
            <color indexed="81"/>
            <rFont val="Tahoma"/>
            <family val="2"/>
          </rPr>
          <t>Formula for future reference, if overwritten:</t>
        </r>
        <r>
          <rPr>
            <sz val="9"/>
            <color indexed="81"/>
            <rFont val="Tahoma"/>
            <family val="2"/>
          </rPr>
          <t xml:space="preserve">
= (development cost * % of development cost anticipated for ongoing development costs) = $H$33*$I$32</t>
        </r>
      </text>
    </comment>
  </commentList>
</comments>
</file>

<file path=xl/sharedStrings.xml><?xml version="1.0" encoding="utf-8"?>
<sst xmlns="http://schemas.openxmlformats.org/spreadsheetml/2006/main" count="830" uniqueCount="591">
  <si>
    <t>Cost Category</t>
  </si>
  <si>
    <t>Total</t>
  </si>
  <si>
    <t>Scope and Approach</t>
  </si>
  <si>
    <t>Overhead</t>
  </si>
  <si>
    <t>Development Infrastructure</t>
  </si>
  <si>
    <t>Community Support</t>
  </si>
  <si>
    <t>Description</t>
  </si>
  <si>
    <t>Development Style</t>
  </si>
  <si>
    <t>Organic</t>
  </si>
  <si>
    <t>Ratings</t>
  </si>
  <si>
    <t>Cost Driver</t>
  </si>
  <si>
    <t>Cost Drivers</t>
  </si>
  <si>
    <t>Very Low</t>
  </si>
  <si>
    <t>Low</t>
  </si>
  <si>
    <t>Nominal</t>
  </si>
  <si>
    <t>High</t>
  </si>
  <si>
    <t>Very High</t>
  </si>
  <si>
    <t>Extra High</t>
  </si>
  <si>
    <t>Product attributes</t>
  </si>
  <si>
    <t>Required software reliability</t>
  </si>
  <si>
    <t>Size of application database</t>
  </si>
  <si>
    <t>Complexity of the product</t>
  </si>
  <si>
    <t>Hardware attributes</t>
  </si>
  <si>
    <t>Run-time performance constraints</t>
  </si>
  <si>
    <t>Memory constraints</t>
  </si>
  <si>
    <t>Volatility of the virtual machine environment</t>
  </si>
  <si>
    <t>Required turnabout time</t>
  </si>
  <si>
    <t>Personnel attributes</t>
  </si>
  <si>
    <t>Analyst capability</t>
  </si>
  <si>
    <t>Applications experience</t>
  </si>
  <si>
    <t>Software engineer capability</t>
  </si>
  <si>
    <t>Virtual machine experience</t>
  </si>
  <si>
    <t>Programming language experience</t>
  </si>
  <si>
    <t>Project attributes</t>
  </si>
  <si>
    <t>Application of software engineering methods</t>
  </si>
  <si>
    <t>Use of software tools</t>
  </si>
  <si>
    <t>Required development schedule</t>
  </si>
  <si>
    <t>Cumulative Effort Adjustment Factor (EAF)</t>
  </si>
  <si>
    <t>Semi-detached</t>
  </si>
  <si>
    <t>Embedded</t>
  </si>
  <si>
    <t>Junior Developer</t>
  </si>
  <si>
    <t>Senior Developer</t>
  </si>
  <si>
    <t>IT Personnel</t>
  </si>
  <si>
    <t>Role 2</t>
  </si>
  <si>
    <t>Role 1</t>
  </si>
  <si>
    <t>Role 3</t>
  </si>
  <si>
    <t>Role 4</t>
  </si>
  <si>
    <t>Definition</t>
  </si>
  <si>
    <t>Overhead not related directly to creating the global good.  May consist of 1) Roles with management focus (such as project manager, COO, CEO) and 2) Indirect costs such as office space, professional services, etc..</t>
  </si>
  <si>
    <t>Overview:</t>
  </si>
  <si>
    <t>Table 1: Development Styles</t>
  </si>
  <si>
    <t>"Small" teams with "good" experience working with "less than rigid" requirements</t>
  </si>
  <si>
    <t>Revenue-based</t>
  </si>
  <si>
    <t>Development
Infrastructure</t>
  </si>
  <si>
    <t>Community
Support</t>
  </si>
  <si>
    <t>Lines</t>
  </si>
  <si>
    <t>Year 1</t>
  </si>
  <si>
    <t>Year 2</t>
  </si>
  <si>
    <t>Year 3</t>
  </si>
  <si>
    <t>Year 4</t>
  </si>
  <si>
    <t>Year 5</t>
  </si>
  <si>
    <t>Year 6</t>
  </si>
  <si>
    <t>Year 7</t>
  </si>
  <si>
    <t>Year 8</t>
  </si>
  <si>
    <t>Role  // Cost by year (Calc)</t>
  </si>
  <si>
    <t>Role  // Number of FTEs on average</t>
  </si>
  <si>
    <t xml:space="preserve">Year 1 </t>
  </si>
  <si>
    <t xml:space="preserve">Year 6 </t>
  </si>
  <si>
    <t>Black #</t>
  </si>
  <si>
    <t>Blue #</t>
  </si>
  <si>
    <t>Green #</t>
  </si>
  <si>
    <t>For graph purposes only (linked to results)</t>
  </si>
  <si>
    <t>Data Series</t>
  </si>
  <si>
    <t>Development: Major Release &amp; Maintenance</t>
  </si>
  <si>
    <t>Source: Barry Boehm. Software engineering economics. Englewood Cliffs, NJ:Prentice-Hall, 1981. ISBN 0-13-822122-7</t>
  </si>
  <si>
    <r>
      <t xml:space="preserve">Applicable EAF
</t>
    </r>
    <r>
      <rPr>
        <sz val="11"/>
        <color rgb="FFFFFFFF"/>
        <rFont val="Calibri"/>
        <family val="2"/>
        <scheme val="minor"/>
      </rPr>
      <t>Auto-populates</t>
    </r>
  </si>
  <si>
    <t>Cumulative Development Cost for Core GG</t>
  </si>
  <si>
    <t>Component</t>
  </si>
  <si>
    <t>Approach / Source</t>
  </si>
  <si>
    <t>FTE-based method</t>
  </si>
  <si>
    <t>Projected budget</t>
  </si>
  <si>
    <t>Revenue based method</t>
  </si>
  <si>
    <t>FTE Based</t>
  </si>
  <si>
    <t>Revenue Based</t>
  </si>
  <si>
    <t>Approach</t>
  </si>
  <si>
    <t>Estimate historical headcount dedicated to core Global Good development</t>
  </si>
  <si>
    <t>Total grants amounts received for core development of global good</t>
  </si>
  <si>
    <t>Established effort estimation model (COCOMO 81).</t>
  </si>
  <si>
    <t>Estimate code effort based on lines of code, development "style" and product/team attributes</t>
  </si>
  <si>
    <t>Benefits</t>
  </si>
  <si>
    <t>For organization, FTE easier to count and less sensitive than spend data.</t>
  </si>
  <si>
    <t>Accurate upper bound on development cost</t>
  </si>
  <si>
    <t>Widely used methodology</t>
  </si>
  <si>
    <t>May be easy to obtain if organization received a small # of grants</t>
  </si>
  <si>
    <t>Challenges</t>
  </si>
  <si>
    <t>May be challenging to estimate historical effort if detailed records / project plans not available</t>
  </si>
  <si>
    <t>Contributions to code base funded by project grants may be difficult to account for</t>
  </si>
  <si>
    <t>Volunteer contributions difficult to value</t>
  </si>
  <si>
    <t>Expected to overestimate: Evolution of software development practices since model developed; May systematically overestimate open source effort given low overhead, self-selection of interest /talent</t>
  </si>
  <si>
    <t>This model separates cumulative development cost into retrospective (historical) vs. ongoing</t>
  </si>
  <si>
    <t>(A) Retrospective Development Cost</t>
  </si>
  <si>
    <t>(B) Ongoing Cost</t>
  </si>
  <si>
    <t>(A) For the retrospective development cost, this framework utilizes three distinct approaches:</t>
  </si>
  <si>
    <t>Developed within a set of "tight" constraints. Also combination of organic and semi-detached projects.</t>
  </si>
  <si>
    <t>Table 2: Intermediate COCOMO Effort Adjustment Factor (EAF)</t>
  </si>
  <si>
    <t>Source: https://sunset.usc.edu/research/COCOMOII/cocomo81_pgm/help.html</t>
  </si>
  <si>
    <t>[do not edit, invisible part of graph]</t>
  </si>
  <si>
    <t>Development (Major Releases &amp; Maintenance)</t>
  </si>
  <si>
    <t>(B) For the prospective or ongoing development costs, this framework utilizes market benchmarks</t>
  </si>
  <si>
    <t>Placeholder of 0 - very organization specific</t>
  </si>
  <si>
    <t>Development cost</t>
  </si>
  <si>
    <t>Ongoing Cost</t>
  </si>
  <si>
    <t>Infrastructure</t>
  </si>
  <si>
    <t>Relevant benchmark</t>
  </si>
  <si>
    <t xml:space="preserve">15-25% </t>
  </si>
  <si>
    <t>10-20%</t>
  </si>
  <si>
    <t>25-60%, wide observed range</t>
  </si>
  <si>
    <t>Benchmark (Ongoing as % of Benchmark)</t>
  </si>
  <si>
    <t>- Benchmarks development (including maintenance) as a percentage of total retrospective development</t>
  </si>
  <si>
    <t>Total Retrospective Development Cost</t>
  </si>
  <si>
    <t>Percentage of Development Cost</t>
  </si>
  <si>
    <t>- Benchmarks other going costs as a percentage of development</t>
  </si>
  <si>
    <t>Approach Overview</t>
  </si>
  <si>
    <t>How-to use this worksheet:</t>
  </si>
  <si>
    <t>Instructions:</t>
  </si>
  <si>
    <t>Output</t>
  </si>
  <si>
    <t>Visuals</t>
  </si>
  <si>
    <t>Inputs</t>
  </si>
  <si>
    <t>Background</t>
  </si>
  <si>
    <t>Overall methodology and descriptions of the different approaches</t>
  </si>
  <si>
    <t>Note: Step by step instructions for each approach are provided within that approach's worksheet</t>
  </si>
  <si>
    <t>Main Sections</t>
  </si>
  <si>
    <t>Summary of all retrospective and ongoing approach estimates</t>
  </si>
  <si>
    <t>This workbook is organized by sections, represented by the grey worksheet tabs. The main sections and descriptions are listed below.</t>
  </si>
  <si>
    <t>n/a</t>
  </si>
  <si>
    <t>~25-30% on top of development (MR &amp; maintenance) budget, consists of activities such as training academy as well as staff for education, community outreach, and technical documentation.</t>
  </si>
  <si>
    <t>40-55% on top of development (MR &amp; maintenance) budget dedicated to community, including events such as Training academy, Launch event, and Implementers meetings, as well as staff such as Community Manager and Technical Documentation expert</t>
  </si>
  <si>
    <t>37-45% on top of development (MR &amp; maintenance) budget devoted to overhead. Consists mostly of overhead staff roles for management (project manager, COO) and fundraising.</t>
  </si>
  <si>
    <t>50-64% on top of development (MR &amp; maintenance) budget devoted to overhead</t>
  </si>
  <si>
    <t>22-25% on top of development (MR &amp; maintenance) budget devoted to overhead; Low overhead from project manager and director salaries.</t>
  </si>
  <si>
    <t>Extremely low development infrastructure costs (3-4% on top of development (MR &amp; maintenance) budget. May benefit from in-kind donations from vendors.</t>
  </si>
  <si>
    <t>~10-15% on top of development (MR &amp; maintenance) budget, consists of server infrastructure and DevOps/Sysadmin.</t>
  </si>
  <si>
    <r>
      <t xml:space="preserve">Visual Results Section </t>
    </r>
    <r>
      <rPr>
        <b/>
        <sz val="11"/>
        <color theme="1"/>
        <rFont val="Calibri"/>
        <family val="2"/>
      </rPr>
      <t>→</t>
    </r>
  </si>
  <si>
    <r>
      <t xml:space="preserve">Inputs &amp; Calculations Section </t>
    </r>
    <r>
      <rPr>
        <b/>
        <sz val="11"/>
        <color theme="1"/>
        <rFont val="Calibri"/>
        <family val="2"/>
      </rPr>
      <t>→</t>
    </r>
  </si>
  <si>
    <r>
      <t xml:space="preserve">Background Context Section </t>
    </r>
    <r>
      <rPr>
        <b/>
        <sz val="11"/>
        <color theme="1"/>
        <rFont val="Calibri"/>
        <family val="2"/>
      </rPr>
      <t>→</t>
    </r>
  </si>
  <si>
    <r>
      <t xml:space="preserve">Output Results Section </t>
    </r>
    <r>
      <rPr>
        <b/>
        <sz val="11"/>
        <color theme="1"/>
        <rFont val="Calibri"/>
        <family val="2"/>
      </rPr>
      <t>→</t>
    </r>
  </si>
  <si>
    <t>Extremely low community support, aligned with model of self development and implementation.</t>
  </si>
  <si>
    <t>Review the visual comparison of the retrospective approaches and averages, and review the break-out of anticipated future costs</t>
  </si>
  <si>
    <t>Summary of Software Global Good Investment, historical and ongoing</t>
  </si>
  <si>
    <t>1. Start with the Inputs section, and follow the instructions on each worksheet to adjust or provide inputs, and view the calculations.</t>
  </si>
  <si>
    <t xml:space="preserve">2. Review the visual presentation of the results in the Visuals section. </t>
  </si>
  <si>
    <t>Formula using cells within the same sheet</t>
  </si>
  <si>
    <t>Formula linked to another worksheet</t>
  </si>
  <si>
    <t>Value hardcoded (no formula), often a model input</t>
  </si>
  <si>
    <t>Cell for user input</t>
  </si>
  <si>
    <t>4. If desired, review the Background section for methodology and descriptions of the various approaches</t>
  </si>
  <si>
    <t>Grantor 1</t>
  </si>
  <si>
    <t>Grantor 2</t>
  </si>
  <si>
    <t>Grantor 3</t>
  </si>
  <si>
    <t>Grantor 5</t>
  </si>
  <si>
    <t>Grantor 4</t>
  </si>
  <si>
    <t>Grantor 6</t>
  </si>
  <si>
    <t>Grantor 7</t>
  </si>
  <si>
    <t>Totals by Grantor</t>
  </si>
  <si>
    <t xml:space="preserve">Name of Global Good: </t>
  </si>
  <si>
    <t>Date of Analysis:</t>
  </si>
  <si>
    <t>Scale</t>
  </si>
  <si>
    <t>Degree of assurance to which the software will perform its intended function</t>
  </si>
  <si>
    <r>
      <t>Run-time performance constraints</t>
    </r>
    <r>
      <rPr>
        <sz val="11"/>
        <rFont val="Calibri"/>
        <family val="2"/>
        <scheme val="minor"/>
      </rPr>
      <t/>
    </r>
  </si>
  <si>
    <t>This reflects the level of volatility of the virtual machine underlying the software product to be developed. The virtual machine is defined as the complex of hardware and software the product will call upon to accomplish its tasks. The ratings are defined in terms of the relative frequency of major and minor changes.</t>
  </si>
  <si>
    <t>Rates the level of applications experience of the project team.</t>
  </si>
  <si>
    <t>Captures ability, efficiency and thoroughness, and the ability to communicate and cooperate. This represents the capability of the programmers who will be working on the software product. The ratings are expressed in terms of percentiles with respect to the overall population of programmers. The evaluation should not consider the level of experience of the programmers (it is covered by other factors) and it should be based on the capability of the programmers as a team rather than as individuals.</t>
  </si>
  <si>
    <t>This represents the level of programming language experience of the project team developing the software project. The ratings are defined in terms of the project team's equivalent duration of experience with the programming language to be used.</t>
  </si>
  <si>
    <t>Captures the productivity impact of tools ranging from simple edit and code tools to integrated, proactive lifecycle support tools. This represents the degree to which software tools are used in developing the software product.</t>
  </si>
  <si>
    <t>This represents the level of constraint imposed on the project team developing a software product. Ratings are defined in terms of the percentage of schedule stretchout or acceleration with respect to a nominal schedule for a project requiring a given amount of effort.</t>
  </si>
  <si>
    <r>
      <rPr>
        <b/>
        <sz val="11"/>
        <rFont val="Calibri"/>
        <family val="2"/>
        <scheme val="minor"/>
      </rPr>
      <t xml:space="preserve">Results in estimated replacement effort, shown in FTE-years </t>
    </r>
    <r>
      <rPr>
        <sz val="11"/>
        <rFont val="Calibri"/>
        <family val="2"/>
        <scheme val="minor"/>
      </rPr>
      <t xml:space="preserve">= </t>
    </r>
  </si>
  <si>
    <t>15-25%</t>
  </si>
  <si>
    <t>Checks</t>
  </si>
  <si>
    <t>Checks:</t>
  </si>
  <si>
    <t>Note: Input name of Global Good and analysis date in yellow cells on the "Inputs --&gt;" tab</t>
  </si>
  <si>
    <t>3. Review the summary output of all analysis in the Output section.</t>
  </si>
  <si>
    <t>Legend for editing worksheets</t>
  </si>
  <si>
    <t>Interpreting these results:</t>
  </si>
  <si>
    <t>Retrospective cost estimates:</t>
  </si>
  <si>
    <t>Ongoing cost estimates:</t>
  </si>
  <si>
    <t xml:space="preserve"> - Benchmarks should be closely evaluated in the context of the organization given potential for free development (open-source community)</t>
  </si>
  <si>
    <t>Revenue-based results</t>
  </si>
  <si>
    <t>FTE-based results</t>
  </si>
  <si>
    <t>Code-based results</t>
  </si>
  <si>
    <t>Gartner groups IT support functions in the personnel expenses, included above</t>
  </si>
  <si>
    <t>Gartner shows hardware typically comprises 19% of IT spend</t>
  </si>
  <si>
    <t>Benchmark considerations for results</t>
  </si>
  <si>
    <t>Source: Gartner IT Key Metrics Data (Dec. 2015). Personnel includes benefits &amp; facilities.</t>
  </si>
  <si>
    <t>&gt;50%</t>
  </si>
  <si>
    <t>Within the annual ongoing budget:</t>
  </si>
  <si>
    <t>Major new development funding</t>
  </si>
  <si>
    <t>Result:</t>
  </si>
  <si>
    <t>check</t>
  </si>
  <si>
    <t>checks</t>
  </si>
  <si>
    <t>Historical_Rev</t>
  </si>
  <si>
    <t>Historical_FTE</t>
  </si>
  <si>
    <t>Historical_COCOMO</t>
  </si>
  <si>
    <t>Ongoing_Dev</t>
  </si>
  <si>
    <t>Results_Summary</t>
  </si>
  <si>
    <t>Curly brackets will appear on sides of formula in the formula bar to indicate an array function.</t>
  </si>
  <si>
    <t>- These are carried through to the Results_Summary worksheet and visuals section.</t>
  </si>
  <si>
    <t xml:space="preserve"> - These results reflect benchmark data as well as an organization's expected additional spend, if warranted. The specific benchmarks are shared on the "Ongoing_Dev" worksheet.</t>
  </si>
  <si>
    <t>Costs associated with nurturing a community related to the global good (e.g.. Developers, users, implementers).  Include costs such as training materials (e.g.. Implementer's guide, developer's guide), events (conferences), and community support (direct FTEs with roles to support community questions / requests)</t>
  </si>
  <si>
    <t>Fully Loaded Rate</t>
  </si>
  <si>
    <t>FTEs --&gt;</t>
  </si>
  <si>
    <t>Granting Organization / Grant amount by year</t>
  </si>
  <si>
    <t>"Medium" teams with mixed experience working with a mix of rigid and less than rigid requirements</t>
  </si>
  <si>
    <t>This represents the experience the project team with the complex of hardware and software that the software product calls upon to accomplish its tasks, e.g. computer, operating system, and/or database management system (not the programming language).</t>
  </si>
  <si>
    <t>Captures analysis and design ability, efficiency and thoroughness, and the ability to communicate and cooperate. The ratings for analyst capability are expressed in terms of percentiles with respect to the overall population of software analysts. The major attributes to be considered are ability, efficiency, thoroughness, and the ability to communicate and cooperate. This evaluation should not include experience (that is captured in other factors) and should be based on the capability of the analysts as a team rather than individuals.</t>
  </si>
  <si>
    <t>This represents the degree to which modern programming practices are used in developing the software. Specific practices included here are: 1. Top-down requirements analysis and design, 2. Structured design notation, 3. Top-down incremental development,. 4. Design and code walkthroughs or inspections, 5. Structured code, 6. Program librarian</t>
  </si>
  <si>
    <t>Model for ongoing costs by cost allocation</t>
  </si>
  <si>
    <t>Role 5</t>
  </si>
  <si>
    <t>Role 6</t>
  </si>
  <si>
    <t>Role 7</t>
  </si>
  <si>
    <t>Role 8</t>
  </si>
  <si>
    <t>Role 9</t>
  </si>
  <si>
    <t>Role 10</t>
  </si>
  <si>
    <t>Table 1: Input internally-paid FTEs</t>
  </si>
  <si>
    <t>Table 2: Input indirectly paid and/or free labor (volunteer/open-source community)</t>
  </si>
  <si>
    <t>Estimate of Fully Loaded Rate</t>
  </si>
  <si>
    <t>Total Average Indirect and Free FTEs/Year</t>
  </si>
  <si>
    <t>Total Average Directly-paid FTEs/Year</t>
  </si>
  <si>
    <t>Total Cost/Value</t>
  </si>
  <si>
    <t>Table 5: Calculated value of indirectly-paid and free FTEs</t>
  </si>
  <si>
    <t>Table 3: Sum of paid and indirectly paid and/or free labor FTEs</t>
  </si>
  <si>
    <t>Roles and salaries excluded from sum</t>
  </si>
  <si>
    <t>all FTEs (paid, indirect, &amp; free)</t>
  </si>
  <si>
    <t>only directly-paid</t>
  </si>
  <si>
    <t>indirectly-paid and free</t>
  </si>
  <si>
    <t>Directly Paid</t>
  </si>
  <si>
    <t>Indirectly paid or free</t>
  </si>
  <si>
    <t>Total Average of All FTEs/Year</t>
  </si>
  <si>
    <t>Total Spend on Directly-Paid FTEs / Year</t>
  </si>
  <si>
    <t>Total Value of Indirectly Paid / Free FTEs / Year</t>
  </si>
  <si>
    <t>Total Value of Paid, Indirect, and Free FTEs</t>
  </si>
  <si>
    <t>--</t>
  </si>
  <si>
    <t>Table 4: Calculated spend on direct FTEs</t>
  </si>
  <si>
    <t>Table 6: Sum of all FTEs market value</t>
  </si>
  <si>
    <t>Across Tables 1 and 2, the following apply</t>
  </si>
  <si>
    <t xml:space="preserve">2. Column C - Estimates of the fully-loaded annual rates ($/Yr) for each role. If not otherwise known, benefits can be estimated at 30% of salary. </t>
  </si>
  <si>
    <t xml:space="preserve">3. Columns D-K - Estimated # of FTEs by role by year. This number should reflect the average number of people in the role over the year. </t>
  </si>
  <si>
    <t>3.  To reset an axis to its "automatic" setting, click "Reset" to the right of the Maximum input box.</t>
  </si>
  <si>
    <t>4. Repeat for remaining graphs (except the "All" graphs, the standard for the axes in the charts below)</t>
  </si>
  <si>
    <t>This approach assumes historical revenue (grants) that supported the development of a global good are a proxy for estimating its financial value, or one indication of the cost to do so again.</t>
  </si>
  <si>
    <t>Other notes:</t>
  </si>
  <si>
    <r>
      <t>Development
(</t>
    </r>
    <r>
      <rPr>
        <sz val="10"/>
        <rFont val="Calibri"/>
        <family val="2"/>
        <scheme val="minor"/>
      </rPr>
      <t>Releases/
Maintenance)</t>
    </r>
  </si>
  <si>
    <t>Software Global Goods: A Valuation Framework</t>
  </si>
  <si>
    <t>This framework is designed for the following two use cases:</t>
  </si>
  <si>
    <t>How to use this worksheet:</t>
  </si>
  <si>
    <t>Please visit the USAID Center for Innovation and Impact website for the latest version and contact information: https://www.usaid.gov/cii</t>
  </si>
  <si>
    <t>These checks do not indicate completion or accuracy.</t>
  </si>
  <si>
    <t>Name of person completing this analysis:</t>
  </si>
  <si>
    <t>Organization performing analysis:</t>
  </si>
  <si>
    <t>[insert Org name]</t>
  </si>
  <si>
    <t>[insert your name]</t>
  </si>
  <si>
    <t>Model version</t>
  </si>
  <si>
    <t>Date</t>
  </si>
  <si>
    <t>Model change log</t>
  </si>
  <si>
    <t>Change</t>
  </si>
  <si>
    <t>Category</t>
  </si>
  <si>
    <t>Overall</t>
  </si>
  <si>
    <t>Salaries</t>
  </si>
  <si>
    <t>all</t>
  </si>
  <si>
    <t>Impacted approach</t>
  </si>
  <si>
    <t>Grantor 8</t>
  </si>
  <si>
    <t>Grantor 9</t>
  </si>
  <si>
    <t>Grantor 10</t>
  </si>
  <si>
    <t>Year 9</t>
  </si>
  <si>
    <t>Year 10</t>
  </si>
  <si>
    <t>$</t>
  </si>
  <si>
    <t>% towards GG</t>
  </si>
  <si>
    <t>Total Grant Funding invested in GG, $</t>
  </si>
  <si>
    <t>Total of all Grant funding per year, $</t>
  </si>
  <si>
    <t>Grants included in this approach should have pertained to the development of the global good.</t>
  </si>
  <si>
    <t>Results Summary</t>
  </si>
  <si>
    <t>All figures in USD</t>
  </si>
  <si>
    <t>USD</t>
  </si>
  <si>
    <t>Salary + Fringe, USD</t>
  </si>
  <si>
    <t>Not applicable</t>
  </si>
  <si>
    <t>Table 3: Development style COCOMO constants</t>
  </si>
  <si>
    <t>COCOMO Variables treated as constants because of relevancy, though they may still be edited and doing so will impact the model</t>
  </si>
  <si>
    <t xml:space="preserve">Table 4: Less Relevant EAF Variables </t>
  </si>
  <si>
    <t>Table 6: Effort Adjustment Factors Table - Standard inputs, not to be altered</t>
  </si>
  <si>
    <t>Select from drop-down menu</t>
  </si>
  <si>
    <r>
      <t>Effort Level</t>
    </r>
    <r>
      <rPr>
        <sz val="11"/>
        <color rgb="FFFFFFFF"/>
        <rFont val="Calibri"/>
        <family val="2"/>
        <scheme val="minor"/>
      </rPr>
      <t/>
    </r>
  </si>
  <si>
    <t>Interim result: Effort Adjusted Replacement time (FTE-years)</t>
  </si>
  <si>
    <t>Modified COCOMO Calculation:</t>
  </si>
  <si>
    <t>Example #1</t>
  </si>
  <si>
    <t>Real Global Good</t>
  </si>
  <si>
    <t>Example #2</t>
  </si>
  <si>
    <t>Example #3</t>
  </si>
  <si>
    <t>Benchmark</t>
  </si>
  <si>
    <t xml:space="preserve">Market </t>
  </si>
  <si>
    <t>70%, this includes people support (overhead)</t>
  </si>
  <si>
    <t>Allocation of the new development spend across budget categories:</t>
  </si>
  <si>
    <r>
      <t xml:space="preserve">Retrospective Cost Estimate, $
</t>
    </r>
    <r>
      <rPr>
        <b/>
        <sz val="5"/>
        <color theme="0"/>
        <rFont val="Calibri"/>
        <family val="2"/>
        <scheme val="minor"/>
      </rPr>
      <t xml:space="preserve">
</t>
    </r>
    <r>
      <rPr>
        <sz val="11"/>
        <color theme="0"/>
        <rFont val="Calibri"/>
        <family val="2"/>
        <scheme val="minor"/>
      </rPr>
      <t xml:space="preserve">Three approaches to estimate historical development cost </t>
    </r>
  </si>
  <si>
    <r>
      <t xml:space="preserve">Ongoing Costs Estimate, $ per year
</t>
    </r>
    <r>
      <rPr>
        <b/>
        <sz val="5"/>
        <color theme="0"/>
        <rFont val="Calibri"/>
        <family val="2"/>
        <scheme val="minor"/>
      </rPr>
      <t xml:space="preserve">
</t>
    </r>
    <r>
      <rPr>
        <sz val="11"/>
        <color theme="0"/>
        <rFont val="Calibri"/>
        <family val="2"/>
        <scheme val="minor"/>
      </rPr>
      <t>One approach to estimate the cost of various ongoing development needs</t>
    </r>
  </si>
  <si>
    <t>Total Major New Spend, $/Yr</t>
  </si>
  <si>
    <t>Total Ongoing Costs, $/Yr</t>
  </si>
  <si>
    <t>Real Global Good example #1</t>
  </si>
  <si>
    <t>Real Global Good example #2</t>
  </si>
  <si>
    <t>Real Global Good example #3</t>
  </si>
  <si>
    <t>$ Budget allocation</t>
  </si>
  <si>
    <t>% of Dev. Cost est. for  budget</t>
  </si>
  <si>
    <t>$ Annual Budget</t>
  </si>
  <si>
    <t>Market</t>
  </si>
  <si>
    <t>Total ongoing</t>
  </si>
  <si>
    <t>annual budget</t>
  </si>
  <si>
    <t>Additional major development</t>
  </si>
  <si>
    <t>Sub-total: Estimated Typical Annual Costs</t>
  </si>
  <si>
    <t>Total: Estimated Annual Costs</t>
  </si>
  <si>
    <t>Sub-total: Additional major development</t>
  </si>
  <si>
    <t>Typical ongoing costs</t>
  </si>
  <si>
    <t xml:space="preserve">Revenue-based </t>
  </si>
  <si>
    <t xml:space="preserve">Median result of retrospective investment </t>
  </si>
  <si>
    <t xml:space="preserve">Average result of retrospective investment </t>
  </si>
  <si>
    <t>FTE</t>
  </si>
  <si>
    <t>median</t>
  </si>
  <si>
    <t>average</t>
  </si>
  <si>
    <t>Code-based (COCOMO-based)</t>
  </si>
  <si>
    <t>Adjusted code-based</t>
  </si>
  <si>
    <t>Weighted average % allocated to GG</t>
  </si>
  <si>
    <t>Notes</t>
  </si>
  <si>
    <t>Assumption</t>
  </si>
  <si>
    <t>Across all worksheets, input values in to the yellow-shaded cells. Avoid editing anything that is not shaded yellow.</t>
  </si>
  <si>
    <t>Knowledge</t>
  </si>
  <si>
    <t>Data</t>
  </si>
  <si>
    <r>
      <rPr>
        <sz val="14"/>
        <color theme="1"/>
        <rFont val="Calibri"/>
        <family val="2"/>
      </rPr>
      <t>□</t>
    </r>
    <r>
      <rPr>
        <sz val="14"/>
        <color theme="1"/>
        <rFont val="Calibri"/>
        <family val="2"/>
        <scheme val="minor"/>
      </rPr>
      <t xml:space="preserve"> </t>
    </r>
    <r>
      <rPr>
        <sz val="11"/>
        <color theme="1"/>
        <rFont val="Calibri"/>
        <family val="2"/>
        <scheme val="minor"/>
      </rPr>
      <t>Historical grant funding (and proportion allocated to Global Good development specifically, if discernable)</t>
    </r>
  </si>
  <si>
    <r>
      <rPr>
        <sz val="14"/>
        <color theme="1"/>
        <rFont val="Calibri"/>
        <family val="2"/>
        <scheme val="minor"/>
      </rPr>
      <t xml:space="preserve">□ </t>
    </r>
    <r>
      <rPr>
        <sz val="11"/>
        <color theme="1"/>
        <rFont val="Calibri"/>
        <family val="2"/>
        <scheme val="minor"/>
      </rPr>
      <t>Estimated total lines of code in software product, its development style, and qualitative assessments of the product and team</t>
    </r>
  </si>
  <si>
    <r>
      <rPr>
        <sz val="14"/>
        <color theme="1"/>
        <rFont val="Calibri"/>
        <family val="2"/>
        <scheme val="minor"/>
      </rPr>
      <t xml:space="preserve">□ </t>
    </r>
    <r>
      <rPr>
        <sz val="11"/>
        <color theme="1"/>
        <rFont val="Calibri"/>
        <family val="2"/>
        <scheme val="minor"/>
      </rPr>
      <t>Any estimates of anticipated future ongoing software budgets, and/or major new development funding</t>
    </r>
  </si>
  <si>
    <t xml:space="preserve">▪ Then, double check that the summary row includes all applicable rows. </t>
  </si>
  <si>
    <t>▪ Summary rows are often part of critical calculations and ultimately linked to the results, so adding rows in the middle helps protect their functionality.</t>
  </si>
  <si>
    <t>To provide feedback, please visit: https://www.usaid.gov/cii</t>
  </si>
  <si>
    <t xml:space="preserve">Use this worksheet to track changes made to the published version of the model </t>
  </si>
  <si>
    <t>GGValFramework_21May2019v1.xlsx</t>
  </si>
  <si>
    <t>#</t>
  </si>
  <si>
    <t>orig.</t>
  </si>
  <si>
    <t>FTE, Code</t>
  </si>
  <si>
    <t>What is necessary to complete this framework?</t>
  </si>
  <si>
    <t>Note: Placeholders used throughout original model to demonstrate use/outputs</t>
  </si>
  <si>
    <t>The checks below indicate functionality of the model (e.g., values tie-out across worksheets as intended, for example)</t>
  </si>
  <si>
    <t>From the above results,</t>
  </si>
  <si>
    <t>Summary of Retrospective Results as Basis for Ongoing Development Costs</t>
  </si>
  <si>
    <t>Interim summary &amp; calculations</t>
  </si>
  <si>
    <r>
      <t xml:space="preserve">Major new </t>
    </r>
    <r>
      <rPr>
        <b/>
        <u/>
        <sz val="12"/>
        <rFont val="Calibri"/>
        <family val="2"/>
        <scheme val="minor"/>
      </rPr>
      <t>annual</t>
    </r>
    <r>
      <rPr>
        <b/>
        <sz val="12"/>
        <rFont val="Calibri"/>
        <family val="2"/>
        <scheme val="minor"/>
      </rPr>
      <t xml:space="preserve"> funding amount </t>
    </r>
    <r>
      <rPr>
        <sz val="12"/>
        <rFont val="Calibri"/>
        <family val="2"/>
        <scheme val="minor"/>
      </rPr>
      <t>(default should be zero)</t>
    </r>
  </si>
  <si>
    <r>
      <t xml:space="preserve">Software Development, </t>
    </r>
    <r>
      <rPr>
        <sz val="10"/>
        <rFont val="Calibri"/>
        <family val="2"/>
        <scheme val="minor"/>
      </rPr>
      <t>as a % of total major new development funding</t>
    </r>
  </si>
  <si>
    <r>
      <t xml:space="preserve">Development Infrastructure, </t>
    </r>
    <r>
      <rPr>
        <sz val="10"/>
        <rFont val="Calibri"/>
        <family val="2"/>
        <scheme val="minor"/>
      </rPr>
      <t>as a % of total major new development funding</t>
    </r>
  </si>
  <si>
    <r>
      <t xml:space="preserve">Community Support, </t>
    </r>
    <r>
      <rPr>
        <sz val="10"/>
        <rFont val="Calibri"/>
        <family val="2"/>
        <scheme val="minor"/>
      </rPr>
      <t>as a % of total major new development funding</t>
    </r>
  </si>
  <si>
    <r>
      <t xml:space="preserve">Overhead, </t>
    </r>
    <r>
      <rPr>
        <sz val="10"/>
        <rFont val="Calibri"/>
        <family val="2"/>
        <scheme val="minor"/>
      </rPr>
      <t>as a % of total major new development funding</t>
    </r>
  </si>
  <si>
    <t>Table 4: Cost Category descriptions and digital global good benchmark context</t>
  </si>
  <si>
    <r>
      <t>Media Retrospective Estimate</t>
    </r>
    <r>
      <rPr>
        <sz val="11"/>
        <rFont val="Calibri"/>
        <family val="2"/>
        <scheme val="minor"/>
      </rPr>
      <t xml:space="preserve"> (excluding zeros)</t>
    </r>
  </si>
  <si>
    <t xml:space="preserve"> - Revenue-based estimates are going to most closely reflect cash outlays, but may need to be adjusted to reflect spend on the GG vs. other spend.</t>
  </si>
  <si>
    <t>▪ Very Low: The effect of a software failure is simply the inconvenience incumbent on the developers to fix the fault.
▪ Low: The effect of a software failure is a low level, easily-recoverable loss to users.
▪ Nominal: The effect of a software failure is a moderate loss to users, but a situation for which one can recover without extreme penalty.
▪ High: The effect of a software failure can be a major financial loss or a massive human inconvenience.
▪ Very High: The effect of a software failure can be the loss of human life.</t>
  </si>
  <si>
    <t>▪ Major change: significantly affects roughly 10% of routines under development.
▪ Minor change: significantly affects roughly 1% of routines under development.
▪ Low: Major change every 12 months
▪ Nominal: Major change every 6 months; Minor: 2 weeks
▪ High: Major: 2 months; Minor: 1 week.
▪ Very High: Major: 2 weeks; Minor: 2 days.</t>
  </si>
  <si>
    <t>▪ Low: Interactive.
▪ Nominal: Avg turnaround time &lt; 4 hours.
▪ High: 4 - 12 hours.
▪ Very High: &gt; 12 hours.
▪ Extra High: No rating - defaults to Very High.</t>
  </si>
  <si>
    <t>▪ Very Low: 15th percentile
▪ Low: 35th percentile
▪ Nominal: 55th percentile
▪ High: 75th percentile
▪ Very High: 90th percentile</t>
  </si>
  <si>
    <t>▪ Very Low: &lt;= 4 month experience
▪ Low: 1 year of experience
▪ Nominal: 3 years of experience
▪ High: 6 years of experience
▪ Very High: 12 years of experience</t>
  </si>
  <si>
    <t>▪ Very Low: &lt;= 1 month experience.
▪ Low: 4 months of experience.
▪ Nominal: 1 year of experience.
▪ High: 3 years of experience.</t>
  </si>
  <si>
    <t>▪ Very Low: No use.
▪ Low: Beginning use.
▪ Nominal: Some use.
▪ High: General use.
▪ Very High: Routine use.</t>
  </si>
  <si>
    <t>▪ Very Low: Basic tools, e.g. assembler, linker, monitor, debug aids.
▪ Low: Beginning use of more productive tools, e.g. High-Order Language compiler, macro assembler, source editor, basic library aids, database aids.
▪ Nominal: Some use tools such as real-time operating systems, database management system, interactive debuggers, interactive source editor.
▪ High: General use of tools such as virtual operating systems, database design aids, program design language, performance measurement and analysis aids, and program flow and test analyzer.
▪ Very High: General user of advanced tools such as full programming support library with configuration management aids, integrated documentation system, project control system, extended design tools, automated verification system.</t>
  </si>
  <si>
    <t>▪ Very Low: 75% of nominal.
▪ Low: 85% of nominal.
▪ Nominal: 100%
▪ High: 130% of nominal.
▪ Very High: 160% of nominal.</t>
  </si>
  <si>
    <t>D/P = (Database size in bytes or characters) / (Program size in SLOC)
▪ Low: D/P &lt; 10
▪ Nominal: 10 &lt;= D/P &lt;= 100
▪ High: 100 &lt;= D/P &lt;= 1000
▪ Very High: D/P &gt; 1000</t>
  </si>
  <si>
    <t>▪ Nominal: &lt;= 50% use of available storage
▪ High: 70% use of available storage
▪ Very High: 85% use of available storage
▪ Extra High: 95% use of available storage</t>
  </si>
  <si>
    <r>
      <rPr>
        <b/>
        <sz val="12"/>
        <rFont val="Calibri"/>
        <family val="2"/>
        <scheme val="minor"/>
      </rPr>
      <t>Total Budget (Yr)</t>
    </r>
    <r>
      <rPr>
        <sz val="12"/>
        <rFont val="Calibri"/>
        <family val="2"/>
        <scheme val="minor"/>
      </rPr>
      <t>,</t>
    </r>
    <r>
      <rPr>
        <b/>
        <sz val="12"/>
        <rFont val="Calibri"/>
        <family val="2"/>
        <scheme val="minor"/>
      </rPr>
      <t xml:space="preserve"> 
</t>
    </r>
    <r>
      <rPr>
        <sz val="12"/>
        <rFont val="Calibri"/>
        <family val="2"/>
        <scheme val="minor"/>
      </rPr>
      <t>and % of original development cost</t>
    </r>
  </si>
  <si>
    <r>
      <t xml:space="preserve">Average Retrospective Estimate </t>
    </r>
    <r>
      <rPr>
        <sz val="11"/>
        <rFont val="Calibri"/>
        <family val="2"/>
        <scheme val="minor"/>
      </rPr>
      <t>(excluding zeros)</t>
    </r>
  </si>
  <si>
    <t>Median</t>
  </si>
  <si>
    <t>Typical Ongoing Costs/Yr</t>
  </si>
  <si>
    <t>Major New Ongoing Spend/Yr</t>
  </si>
  <si>
    <t>FTEs represents an average number of FTEs over the year</t>
  </si>
  <si>
    <t>← Adjust FTE methodology on Historical_FTE tab</t>
  </si>
  <si>
    <t>same as above</t>
  </si>
  <si>
    <t>Sources:</t>
  </si>
  <si>
    <r>
      <t>University of Southern California, Center for Systems and Software Engineering; Boehm, Barry W., </t>
    </r>
    <r>
      <rPr>
        <i/>
        <sz val="11"/>
        <color theme="1"/>
        <rFont val="Calibri"/>
        <family val="2"/>
        <scheme val="minor"/>
      </rPr>
      <t>Software Engineering Economics</t>
    </r>
    <r>
      <rPr>
        <sz val="11"/>
        <color theme="1"/>
        <rFont val="Calibri"/>
        <family val="2"/>
        <scheme val="minor"/>
      </rPr>
      <t>, Prentice Hall, 1981.</t>
    </r>
  </si>
  <si>
    <r>
      <t xml:space="preserve">Boehm, V. (2008). </t>
    </r>
    <r>
      <rPr>
        <i/>
        <sz val="11"/>
        <color theme="1"/>
        <rFont val="Calibri"/>
        <family val="2"/>
        <scheme val="minor"/>
      </rPr>
      <t>Achievements and Challenges in COCOMO-Based Software Resource Estimation</t>
    </r>
    <r>
      <rPr>
        <sz val="11"/>
        <color theme="1"/>
        <rFont val="Calibri"/>
        <family val="2"/>
        <scheme val="minor"/>
      </rPr>
      <t>. IEEE Computer Society, 74-83.</t>
    </r>
  </si>
  <si>
    <r>
      <t xml:space="preserve">Koch, S. (2005). </t>
    </r>
    <r>
      <rPr>
        <i/>
        <sz val="11"/>
        <color theme="1"/>
        <rFont val="Calibri"/>
        <family val="2"/>
        <scheme val="minor"/>
      </rPr>
      <t>Effort Modeling and Programmer Participation in Open Source Software.</t>
    </r>
    <r>
      <rPr>
        <sz val="11"/>
        <color theme="1"/>
        <rFont val="Calibri"/>
        <family val="2"/>
        <scheme val="minor"/>
      </rPr>
      <t xml:space="preserve"> Working Papers on Information Systems, Information Business and Operations.</t>
    </r>
  </si>
  <si>
    <t>This is where the inputs and calculations reside for each of the different approaches. This section requires close review, technical knowledge, and input data.</t>
  </si>
  <si>
    <t>1. Column B - Roles of those who worked on a digital good. Note this is not used in the calculation; only provided for reference to differentiate salaries.</t>
  </si>
  <si>
    <t>Total Lines of Code in software product (input)</t>
  </si>
  <si>
    <t>Additional inputs and calculations to COCOMO model grouped in the rows below - view by expanding the [+] on the left side. No changes required.</t>
  </si>
  <si>
    <t xml:space="preserve">Input % of est. annual budget to each category </t>
  </si>
  <si>
    <t xml:space="preserve">Input % of addt'l budget to each category </t>
  </si>
  <si>
    <t>(1) In agile workflow, difficult to separate out from Maintenance from Ongoing Development work as iterations will blend new features and bug fixes. This ongoing development typically accounts for ~15-25% of original development cost.
(2) Gartner identifies a 30/70 ratio between new and ongoing costs (across all categories, not just labor) (2015)
________________________________
Development work towards major new features.  Includes time spent creating requirements (user stories), coding, testing, writing automated tests, etc..  Primary costs is labor (developers &amp; related)
________________________________
Development work towards fixing defects in released functionality. Includes time spent debugging, writing fixes, testing fixes, communicating with customers, writing automated tests, etc. Primary costs is labor (developers &amp; related).</t>
  </si>
  <si>
    <t>Expect the need to triangulate these results, and to put them in context against the relevant organization and global good.</t>
  </si>
  <si>
    <t>and optional "Major new ongoing spend" that may be known but not reflected in benchmark estimates</t>
  </si>
  <si>
    <t>This framework guides the formation of two types of estimates:</t>
  </si>
  <si>
    <t xml:space="preserve">1. Right-click on the axis to change. From the menu that appears, select "Format Axis." A menu appears on the right side. </t>
  </si>
  <si>
    <t>~ 35% of GG#3 original development costs spent on ongoing development; 
Development ~60% of GG#3 ongoing dev budget, consists mainly of developer staff.</t>
  </si>
  <si>
    <t>~ 25% of GG#2 original development costs spent on ongoing development; 
Development staff also represent &gt;50% of ongoing dev. budget. Most developers based in US.</t>
  </si>
  <si>
    <t>~ 15% of GG#1 original development costs spent on ongoing development;
Development also represents ~60% of ongoing dev. budget.</t>
  </si>
  <si>
    <t>~13-16% on top of development (MR &amp; maintenance) budget,  GG#1 maintains infrastructure for customers (SaaS)</t>
  </si>
  <si>
    <t>All financial value figures in USD</t>
  </si>
  <si>
    <t>Year 1 should refer to the first year of development for the global good.</t>
  </si>
  <si>
    <t>Year 1 refers to the first year of development for the global good</t>
  </si>
  <si>
    <t xml:space="preserve"> - If proportional investment of the grant cannot be estimated, use 100% to conservatively estimate that all revenue was invested in the global good.</t>
  </si>
  <si>
    <t>Revenue-based approach</t>
  </si>
  <si>
    <t>Estimated development cost:</t>
  </si>
  <si>
    <t>Below, revenue (grants) by grantor by year, scaled (if necessary) to the proportion relevant to the development of the software global good</t>
  </si>
  <si>
    <t xml:space="preserve">  -  □  Include FTE-equivalent salaries for indirectly paid and free contributions; measuring and valuing this time illustrates the cost to build if an organization had to pay for all development.</t>
  </si>
  <si>
    <r>
      <rPr>
        <sz val="12"/>
        <color rgb="FF0000FF"/>
        <rFont val="Calibri"/>
        <family val="2"/>
      </rPr>
      <t>←</t>
    </r>
    <r>
      <rPr>
        <sz val="9"/>
        <color rgb="FF0000FF"/>
        <rFont val="Calibri"/>
        <family val="2"/>
      </rPr>
      <t xml:space="preserve"> </t>
    </r>
    <r>
      <rPr>
        <sz val="12"/>
        <color rgb="FF0000FF"/>
        <rFont val="Calibri"/>
        <family val="2"/>
        <scheme val="minor"/>
      </rPr>
      <t>Select choice from drop-down menu after filling out Tables 1 and 2</t>
    </r>
  </si>
  <si>
    <t>Select FTE type for use in summary:</t>
  </si>
  <si>
    <r>
      <rPr>
        <sz val="12"/>
        <color rgb="FF0000FF"/>
        <rFont val="Calibri"/>
        <family val="2"/>
      </rPr>
      <t>←</t>
    </r>
    <r>
      <rPr>
        <sz val="9"/>
        <color rgb="FF0000FF"/>
        <rFont val="Calibri"/>
        <family val="2"/>
      </rPr>
      <t xml:space="preserve"> </t>
    </r>
    <r>
      <rPr>
        <sz val="12"/>
        <color rgb="FF0000FF"/>
        <rFont val="Calibri"/>
        <family val="2"/>
        <scheme val="minor"/>
      </rPr>
      <t>Adjust via Table 2 drop-down menus</t>
    </r>
  </si>
  <si>
    <t>Effort Adjustment Factor (EAF)</t>
  </si>
  <si>
    <t>COCOMO-based</t>
  </si>
  <si>
    <t>Adjusted COCOMO-based</t>
  </si>
  <si>
    <t>2. Under "Axis Options," then under "Bounds," there is an input box "Maximum." Type here the height of the respective "All FTE" graph (count or $) as the new, manually-set maximum.</t>
  </si>
  <si>
    <t>If the more rows are needed in a Table than currently allotted (e.g., grants), these rows should be added to the middle of the Table, and then</t>
  </si>
  <si>
    <t>the formulas can be copied from rows above down to (but not including) the Summary row at the end of each Table.</t>
  </si>
  <si>
    <t>▪ The same logic applies to adding columns (insert columns in the middle of Tables). Always double-check that the summaries and linked formulas refer to the correct cells.</t>
  </si>
  <si>
    <t>Development Style: See Table 1 for definitions (select)</t>
  </si>
  <si>
    <t>Key Assumptions and Notes</t>
  </si>
  <si>
    <t>Use this worksheet to document impactful assumptions and notes. Suggested assumptions listed below - overwrite if utilizing different assumptions.</t>
  </si>
  <si>
    <t>Revenue</t>
  </si>
  <si>
    <t>Grants</t>
  </si>
  <si>
    <t>Other costs</t>
  </si>
  <si>
    <t>FTE/Revenue</t>
  </si>
  <si>
    <t>Table 5: COCOMO calculations, not to be altered</t>
  </si>
  <si>
    <t>▪ Low: Interactive.
▪ Nominal: Avg turnaround time &lt; 4 hours.
▪ High: 4 - 12 hours.
▪ Very High: &gt; 12 hours.</t>
  </si>
  <si>
    <r>
      <t xml:space="preserve">Degree of main storage constraint imposed on a software system. This reflects the percentage of main storage expected to be used by the software product and any subsystems consuming the main storage resources. Main storage refers to direct random access storage such as disks, tapes, or optical drives. </t>
    </r>
    <r>
      <rPr>
        <b/>
        <sz val="11"/>
        <rFont val="Calibri"/>
        <family val="2"/>
        <scheme val="minor"/>
      </rPr>
      <t>No longer relevant given vastness of storage capabilities at a low cost today.</t>
    </r>
  </si>
  <si>
    <t>Measure of the execution time constraint imposed upon a software system. This reflects the level of computer response time experienced by the project team developing the software product.</t>
  </si>
  <si>
    <t>▪ Very low to extra high given user's subjective assessment. 
For details, see: https://sunset.usc.edu/research/COCOMOII/cocomo81_pgm/cplx.html</t>
  </si>
  <si>
    <t>Table 1: Estimate the annual budget - see Table 4 for context</t>
  </si>
  <si>
    <t>Table 2: Estimate the allocation across categories within the ongoing budget - see Table 4 for context</t>
  </si>
  <si>
    <t>If check cells are edited, click into cell, and instead of normal enter, press CTRL + Shift + Enter at the same time.</t>
  </si>
  <si>
    <r>
      <t xml:space="preserve">Captures the effect that large data requirements have on product development. This is the relative database size to be developed where size refers to the amount of data to be assembled and stored in non-main storage. </t>
    </r>
    <r>
      <rPr>
        <b/>
        <i/>
        <sz val="11"/>
        <rFont val="Calibri"/>
        <family val="2"/>
        <scheme val="minor"/>
      </rPr>
      <t>Less relevant today given today's ability to process very large datasets.</t>
    </r>
  </si>
  <si>
    <t>and development of new features/functionality (iterative development)</t>
  </si>
  <si>
    <t>This worksheet assumes allocations across cost categories are likely to fall within common ranges across different organizations ("benchmarks"); a common technique in budgeting.</t>
  </si>
  <si>
    <t>Code</t>
  </si>
  <si>
    <t>Adjusted code</t>
  </si>
  <si>
    <t>□  Input in cell I25 an estimated percentage of original development cost to represent ongoing development costs. Refer to market benchmarks in Table 1 and descriptions in Table 4 if helpful.</t>
  </si>
  <si>
    <t xml:space="preserve"> - If helpful, review Table 4 for cost descriptions and context. The application of these cost allocation percentages will be used to estimate the ongoing development expense.</t>
  </si>
  <si>
    <t>□  Review and adjust as needed the cost allocations in column H, rows 37-40 so they reflect knowledge of the analyzed organization.</t>
  </si>
  <si>
    <t>□  If relevant, input anticipated major additional ongoing development funding needs in cell J54; should be a recurring annual expense / need</t>
  </si>
  <si>
    <t>▪  This could be used to show the funding need for a specific major development, and/or an already-funded major development expense</t>
  </si>
  <si>
    <t>▪  This chart illustrate the results of the three retrospective results: Revenue, FTE, and Code-based</t>
  </si>
  <si>
    <t>▪  The dashed line represents the average cost estimate of approaches that have been completed (non-zero)</t>
  </si>
  <si>
    <t>▪  If underlying calculations are not completed, the approach will not show a value</t>
  </si>
  <si>
    <t>▪  This chart illustrates the expected spend across ongoing development categories</t>
  </si>
  <si>
    <t>▪  This projection includes "business as usual" based on benchmarks - referred to here as "Typical Ongoing Costs,"</t>
  </si>
  <si>
    <t>▪  Both of these projections are developed in the "Ongoing_Dev" worksheet.</t>
  </si>
  <si>
    <t>▪  These charts illustrate the results of inputs to the FTE-based cost estimate</t>
  </si>
  <si>
    <t>▪  Values input into the "Historical FTE" directly change the results of these graphs (linked as Source Data)</t>
  </si>
  <si>
    <t>▪  Not all roles will have costs in all years, and placeholder roles may appear in legend for usability (these can be deleted if desired: Right-click, Select Data, uncheck unused series)</t>
  </si>
  <si>
    <t>▪  For appropriate comparison, change the axis of the second and third rows of charts (Directly Paid and Indirectly Paid/Free sets) to match the "All FTEs" axis, for both the Count and Value, respectively</t>
  </si>
  <si>
    <t xml:space="preserve"> - To do this,</t>
  </si>
  <si>
    <t xml:space="preserve">   1)  Retrospective development cost using three methods (FTE-based, Revenue-based, and Code-based)</t>
  </si>
  <si>
    <t xml:space="preserve">   2)  Ongoing development costs using benchmarks</t>
  </si>
  <si>
    <t>This approach estimates: "How much did we spend / would we have spent to build a similar product, all else equal?" based on either internal or market salaries, and how that total changes with indirect/free labor.</t>
  </si>
  <si>
    <t>B) Leaders at a global good organization may use this framework to understand their historical and ongoing investment needs, and use that information to inform business modeling, fundraising, and long-term sustainability planning</t>
  </si>
  <si>
    <t xml:space="preserve">This worksheet estimates the amount of an organization's revenue used to build a software product, like a global good. </t>
  </si>
  <si>
    <t>A)  Donors and/or development agencies may use this framework to illustrate the estimated costs to develop and maintain software products, and to prioritize among these investments for a more streamlined approach</t>
  </si>
  <si>
    <t>Editor</t>
  </si>
  <si>
    <t>USAID</t>
  </si>
  <si>
    <t>Published version</t>
  </si>
  <si>
    <t>Salaries remained the same over the analysis period</t>
  </si>
  <si>
    <t>Grants shown were used primarily to fund the development of the global good, and the allocation of spend from these sources was tracked and is included in this model</t>
  </si>
  <si>
    <t xml:space="preserve"> - If not all of the revenue/ grant was used towards the global good, the amount received should be scaled by the relevant proportion.</t>
  </si>
  <si>
    <t>Edit this worksheet by changing yellow cells referring to granting organization names (Grantors), grant amounts ($), and allocations of those grants to the development of the global good (%).</t>
  </si>
  <si>
    <t>□  Grant Allocations: For each granting organization, in the second yellow row of its respective table (labeled "% towards GG"), input the percentage of the grant that was allocated to development of the global good in that year.</t>
  </si>
  <si>
    <t xml:space="preserve"> - Enter 100% if its use towards development is known, but the percentage cannot be estimated.</t>
  </si>
  <si>
    <t xml:space="preserve"> - Note, these are not used in the calculations; only for reference to differentiate grants.</t>
  </si>
  <si>
    <t xml:space="preserve"> - The total value of all FTE contributions over all years is the total FTE-based estimate of historical development costs.</t>
  </si>
  <si>
    <t xml:space="preserve">  -  □  Estimate the number of FTEs worth of open-source contributions using the Black Duck Open Hub website (www.openhub.net) or similar source. Feel free to use fractions of an FTE.</t>
  </si>
  <si>
    <t>After inputting data, select the type of FTE data that best suits the analysis' purpose to show in the summary results and visuals.</t>
  </si>
  <si>
    <t>□  In cell C37, select from among different FTE categories (drop-down menu: directly paid, indirectly paid/free, or all), and the result will show in cell C38 and carry through the workbook as applicable.</t>
  </si>
  <si>
    <t>□  Grantor Names: In Column B, starting in row 31 and repeating every four rows, there are yellow boxes with "Grantor [#]" - overwrite these cells with the names of each granting organization.</t>
  </si>
  <si>
    <t xml:space="preserve"> - Revenue-based results by year are summarized below all individual grant tables, and the total amount of grants allocated to the development of the global good is shown in cell E25.</t>
  </si>
  <si>
    <t>Note: Roles 1, 2, 3, etc. are generic placeholders, included so additional roles can overwrite the placeholders their own data.</t>
  </si>
  <si>
    <r>
      <t>□  Table 1: Input Paid FTE information (roles, salaries, and average count). See below "</t>
    </r>
    <r>
      <rPr>
        <i/>
        <sz val="12"/>
        <rFont val="Calibri"/>
        <family val="2"/>
        <scheme val="minor"/>
      </rPr>
      <t>Across Tables 1 and 2</t>
    </r>
    <r>
      <rPr>
        <sz val="12"/>
        <rFont val="Calibri"/>
        <family val="2"/>
        <scheme val="minor"/>
      </rPr>
      <t>" for details. Feel free to use fractions of an FTE.</t>
    </r>
  </si>
  <si>
    <t>The tables below differentiate paid FTEs from indirectly paid/free FTEs in order to distinguish between the cost of paying staff (a cash outlay) vs. the value of donated labor (no direct cash outlay).</t>
  </si>
  <si>
    <t xml:space="preserve"> - It assumes that the historical effort (number of people and role) can be known/estimated, along with salaries.</t>
  </si>
  <si>
    <t xml:space="preserve">Edit this worksheet by changing yellow cells referring to roles, salaries, and FTE counts in Tables 1 and 2. </t>
  </si>
  <si>
    <r>
      <t>□  Table 2: Input indirectly paid / free FTE information. See below "</t>
    </r>
    <r>
      <rPr>
        <i/>
        <sz val="12"/>
        <rFont val="Calibri"/>
        <family val="2"/>
        <scheme val="minor"/>
      </rPr>
      <t>Across Tables 1 and 2</t>
    </r>
    <r>
      <rPr>
        <sz val="12"/>
        <rFont val="Calibri"/>
        <family val="2"/>
        <scheme val="minor"/>
      </rPr>
      <t>" for details.</t>
    </r>
  </si>
  <si>
    <t xml:space="preserve"> - Changes to these cost drivers flow through calculations shown in Table 3, which is in grouped rows below Table 2. No edits are needed in that table, which is why it is grouped out of sight.</t>
  </si>
  <si>
    <t>▪  No inputs needed to Tables 3 through 6, which show the cost of paid FTEs and the value of the donated time from indirectly paid/free FTEs. Table 6 shows annual totals.</t>
  </si>
  <si>
    <t>This worksheet estimates the value of the time and expertise used to build a global good as a way to estimate its retrospective development cost, valuing both paid labor and indirectly-paid or free (donated or open-source) labor.</t>
  </si>
  <si>
    <t>Result will be used as the estimated development cost→</t>
  </si>
  <si>
    <t xml:space="preserve">or it may be overwritten on the next page       </t>
  </si>
  <si>
    <t>The benchmarks used in this worksheet include market benchmarks (column D) and three different real examples of software global goods (columns E-G).</t>
  </si>
  <si>
    <t xml:space="preserve"> - All software global goods should expect ongoing costs to fix software errors (bugs), accommodate changes to the environment/business needs (e.g., data input or platform changes), </t>
  </si>
  <si>
    <t>Additionally, this approach allows for projection of additional development spend, separate from what may be anticipated from the typical ongoing cost estimates.</t>
  </si>
  <si>
    <t>□  Review development cost estimate from selected approach (linked from InterimSummary), which serves as the basis for the ongoing development budget:</t>
  </si>
  <si>
    <t>□  If another cost basis is desired, overwrite it in cell J18, while leaving cell J17 as-is for future iterations (default is linked to J21):</t>
  </si>
  <si>
    <t xml:space="preserve"> - Results are shown in column I, rows 37-40, as the worksheet multiplies the cost allocations in column I by the relevant cost figure in J25 to estimate the annual cost for each category.</t>
  </si>
  <si>
    <t>□  Adjust the percentages in column J, rows 57-60, to split the new expense across four categories (total to 100%). Results appear in column J, rows 57-60, and linked to the results and visuals section.</t>
  </si>
  <si>
    <t>A more detailed description for interpreting these results is shared in the Background section.</t>
  </si>
  <si>
    <t xml:space="preserve"> - This is the amount of grant funding required to build the GG, though not necessarily indicative of a future GG development (given tech advanced, productivity, cost changes, etc.)</t>
  </si>
  <si>
    <t xml:space="preserve"> - Revenue-and FTE-based estimates are very dependent on context and input data, as well as the accuracy of time and expense tracking against a particular GG.</t>
  </si>
  <si>
    <t>. All-in FTE-based estimates may not reflect cash outlays, given the potential inclusion of free development from the open-source community</t>
  </si>
  <si>
    <t>. Other known, non-FTE costs are not included in the FTE-based approach (such as computers and associated hardware), whereas they may be included in Revenue</t>
  </si>
  <si>
    <t xml:space="preserve"> - COCOMO is most often going to reflect the highest cost (overestimation approximated by one academic study at 2.5x, see Background section for more detail)</t>
  </si>
  <si>
    <t>given the greater productivity of Open Source products, and efficiency gained since the development of the first COCOMO model in 1981.</t>
  </si>
  <si>
    <r>
      <rPr>
        <sz val="14"/>
        <color theme="1"/>
        <rFont val="Calibri"/>
        <family val="2"/>
        <scheme val="minor"/>
      </rPr>
      <t xml:space="preserve">□ </t>
    </r>
    <r>
      <rPr>
        <sz val="11"/>
        <color theme="1"/>
        <rFont val="Calibri"/>
        <family val="2"/>
        <scheme val="minor"/>
      </rPr>
      <t>Count of contributing software developers, their role, and related salary estimates for those who worked to develop a Software Global Good</t>
    </r>
  </si>
  <si>
    <t xml:space="preserve"> - Relevant costs should include labor/development costs, hardware and software costs, and support staff/overhead.</t>
  </si>
  <si>
    <t>Gartner shows software (16%), personnel (43%), &amp; outsourcing (22%) together typically comprise 81% of IT spend</t>
  </si>
  <si>
    <t>Costs associated with creating supporting tools and processes for development work. Primarily hardware and software costs, and the people to support them, specifically:  1) Basic tools for developers / testers including desktops / laptops, software licenses for editors, etc..  2) Centralized hardware or software licenses for development support (e.g.. Continuous integration server, version control repository) 3) Testing hardware e.g.. mobile phones for app development 4) Staff dedicated to maintaining infrastructure</t>
  </si>
  <si>
    <t>Other known, non-FTE costs are not included in the FTE-based approach (such as computers and associated hardware), whereas they may be included in Revenue</t>
  </si>
  <si>
    <r>
      <t>Software Development</t>
    </r>
    <r>
      <rPr>
        <sz val="12"/>
        <rFont val="Calibri"/>
        <family val="2"/>
        <scheme val="minor"/>
      </rPr>
      <t xml:space="preserve">
</t>
    </r>
    <r>
      <rPr>
        <sz val="10"/>
        <rFont val="Calibri"/>
        <family val="2"/>
        <scheme val="minor"/>
      </rPr>
      <t>as a % of annual budget</t>
    </r>
  </si>
  <si>
    <r>
      <t xml:space="preserve">Development Infrastructure
</t>
    </r>
    <r>
      <rPr>
        <sz val="10"/>
        <rFont val="Calibri"/>
        <family val="2"/>
        <scheme val="minor"/>
      </rPr>
      <t>as a % of annual budget</t>
    </r>
  </si>
  <si>
    <r>
      <t xml:space="preserve">Community Support
</t>
    </r>
    <r>
      <rPr>
        <sz val="10"/>
        <rFont val="Calibri"/>
        <family val="2"/>
        <scheme val="minor"/>
      </rPr>
      <t>as a % of annual budget</t>
    </r>
  </si>
  <si>
    <r>
      <t xml:space="preserve">Overhead
</t>
    </r>
    <r>
      <rPr>
        <sz val="10"/>
        <rFont val="Calibri"/>
        <family val="2"/>
        <scheme val="minor"/>
      </rPr>
      <t>as a % of annual budget</t>
    </r>
  </si>
  <si>
    <r>
      <t xml:space="preserve">Please see the associated paper for important context, </t>
    </r>
    <r>
      <rPr>
        <i/>
        <sz val="12"/>
        <color theme="1"/>
        <rFont val="Calibri"/>
        <family val="2"/>
        <scheme val="minor"/>
      </rPr>
      <t>Software Global Goods: A Valuation Framework User Guide</t>
    </r>
  </si>
  <si>
    <t>Note: USAID recommends a qualified third-party conduct this evaluation to provide an outside perspective, particularly if doing a comparative analysis.</t>
  </si>
  <si>
    <t>▪  This framework should be completed by a person with sufficient technical knowledge to estimate both the (1) type of roles, and (2) effort and time to required to develop a software global good.</t>
  </si>
  <si>
    <t>▪  USAID recommends a qualified third-party advisor complete this model to provide an objective view, especially when comparing multiple global goods to ensure consistent assumptions.</t>
  </si>
  <si>
    <t>▪  The person completing this framework should have access to data and people to gather relevant information.</t>
  </si>
  <si>
    <t xml:space="preserve">Instructions for the Software Global Goods Valuation Framework </t>
  </si>
  <si>
    <t>Introduction</t>
  </si>
  <si>
    <t>The worksheets in this section provide an overview to the framework, and tracking mechanisms to note version control changes and key assumptions.</t>
  </si>
  <si>
    <r>
      <t>Intermediate: a</t>
    </r>
    <r>
      <rPr>
        <b/>
        <vertAlign val="subscript"/>
        <sz val="11"/>
        <color rgb="FFFFFFFF"/>
        <rFont val="Calibri"/>
        <family val="2"/>
        <scheme val="minor"/>
      </rPr>
      <t xml:space="preserve">b </t>
    </r>
    <r>
      <rPr>
        <b/>
        <sz val="11"/>
        <color rgb="FFFFFFFF"/>
        <rFont val="Calibri"/>
        <family val="2"/>
        <scheme val="minor"/>
      </rPr>
      <t>(Effort)</t>
    </r>
  </si>
  <si>
    <r>
      <t>Intermediate: b</t>
    </r>
    <r>
      <rPr>
        <b/>
        <vertAlign val="subscript"/>
        <sz val="11"/>
        <color rgb="FFFFFFFF"/>
        <rFont val="Calibri"/>
        <family val="2"/>
        <scheme val="minor"/>
      </rPr>
      <t>b</t>
    </r>
    <r>
      <rPr>
        <b/>
        <sz val="11"/>
        <color rgb="FFFFFFFF"/>
        <rFont val="Calibri"/>
        <family val="2"/>
        <scheme val="minor"/>
      </rPr>
      <t xml:space="preserve">  (Scaling base)</t>
    </r>
  </si>
  <si>
    <t>a * EAF* (KLOC) ^ b</t>
  </si>
  <si>
    <t>Characterizes the product’s complexity in five areas: control operations, computational operations, device dependent operations, data management operations, and user interface management operations.</t>
  </si>
  <si>
    <r>
      <t xml:space="preserve">This reflects the degree of execution time constraint imposed upon a software product. The rating is expressed in terms of available execution time expected to be used. </t>
    </r>
    <r>
      <rPr>
        <b/>
        <sz val="11"/>
        <rFont val="Calibri"/>
        <family val="2"/>
        <scheme val="minor"/>
      </rPr>
      <t>No longer relevant, no meaningful difference in execution time. Set to nominal as mathematically equivalent to removing.</t>
    </r>
  </si>
  <si>
    <t xml:space="preserve">This worksheet builds an estimation of ongoing costs for a software global good based on original development costs and benchmarks in software development. </t>
  </si>
  <si>
    <t>Source: Gartner IT Key Metrics Data (Dec. 2015).</t>
  </si>
  <si>
    <t xml:space="preserve"> - Gartner IT Key Metrics Data also suggests total an IT budget is typically be 6-8% of an organizations revenue, and a same proportion of the operating expense budget.</t>
  </si>
  <si>
    <t xml:space="preserve"> - Gartner IT Key Metrics Data suggests that IT maintain vs. IT build cost ratio is 70/30 (across all categories: infrastructure, software, etc.)</t>
  </si>
  <si>
    <t>Easily computable based on code</t>
  </si>
  <si>
    <r>
      <t xml:space="preserve">Yang, Shixan (2012). </t>
    </r>
    <r>
      <rPr>
        <i/>
        <sz val="11"/>
        <color theme="1"/>
        <rFont val="Calibri"/>
        <family val="2"/>
        <scheme val="minor"/>
      </rPr>
      <t>Reducing the risk of software cost estimation</t>
    </r>
    <r>
      <rPr>
        <sz val="11"/>
        <color theme="1"/>
        <rFont val="Calibri"/>
        <family val="2"/>
        <scheme val="minor"/>
      </rPr>
      <t xml:space="preserve">. New Jersey Institute of Technology. </t>
    </r>
  </si>
  <si>
    <r>
      <t xml:space="preserve">Frenandez-Ramil, Izquierdo-Cortazar, &amp; Mens. (2009). </t>
    </r>
    <r>
      <rPr>
        <i/>
        <sz val="11"/>
        <color rgb="FF000000"/>
        <rFont val="Calibri"/>
        <family val="2"/>
        <scheme val="minor"/>
      </rPr>
      <t xml:space="preserve">What Does It Take to Develop a Million Lines of Open Source Code? </t>
    </r>
    <r>
      <rPr>
        <sz val="11"/>
        <color rgb="FF000000"/>
        <rFont val="Calibri"/>
        <family val="2"/>
        <scheme val="minor"/>
      </rPr>
      <t>5th IFIP WG 2.13 International Conference on Open Source Systems</t>
    </r>
  </si>
  <si>
    <t>□  Grant Amounts: For each granting organization, in the first yellow row of its respective table (labeled "$"), input the value of grants received in each year starting in year 1. Enter 0 if no grant funding received in a given year.</t>
  </si>
  <si>
    <t>Reduction factor to account for over-estimation. Can adjust as desired.</t>
  </si>
  <si>
    <t>← May adjust discount if desired on Historical_COCOMO tab</t>
  </si>
  <si>
    <t>Code-based method (COCOMO)</t>
  </si>
  <si>
    <t>Adjusted code-based method (COCOMO)</t>
  </si>
  <si>
    <t>Recent incurred costs / benchmarks</t>
  </si>
  <si>
    <t>Code Based, including adjusted</t>
  </si>
  <si>
    <r>
      <rPr>
        <b/>
        <sz val="11"/>
        <rFont val="Calibri"/>
        <family val="2"/>
        <scheme val="minor"/>
      </rPr>
      <t>Coefficient a1</t>
    </r>
    <r>
      <rPr>
        <sz val="11"/>
        <rFont val="Calibri"/>
        <family val="2"/>
        <scheme val="minor"/>
      </rPr>
      <t>, constant, changes with development style:</t>
    </r>
  </si>
  <si>
    <r>
      <rPr>
        <b/>
        <u/>
        <sz val="11"/>
        <rFont val="Calibri"/>
        <family val="2"/>
        <scheme val="minor"/>
      </rPr>
      <t>Coefficient b1</t>
    </r>
    <r>
      <rPr>
        <u/>
        <sz val="11"/>
        <rFont val="Calibri"/>
        <family val="2"/>
        <scheme val="minor"/>
      </rPr>
      <t>, constant, changes with development style:</t>
    </r>
  </si>
  <si>
    <t>COCOMO calculation, coefficients update based on development style:</t>
  </si>
  <si>
    <t>Intermediate COCOMO</t>
  </si>
  <si>
    <t>Average salary of anticipated software developers, annual USD</t>
  </si>
  <si>
    <t>□  Estimate the size of the code base by inputting the number of lines of code into cell D29 (this is a standard measure of software, available from www.openhub.net for open source products)</t>
  </si>
  <si>
    <t>□  Select the most applicable development style from the drop-down menu in cell D31 based on definitions in Table 1</t>
  </si>
  <si>
    <t>□  In Table 2, review and adjust the "Effort level" selections in column E for each of the cost-drivers of the model. Select "Nominal" if unknown or not relevant. Changes impact cell D33 - the "effort adjustment factor."</t>
  </si>
  <si>
    <t xml:space="preserve"> - There are three other factors from the COCOMO model that are also shown in grouped rows below Table 2. These do not need to be edited, and are removed as less relevant to today's projects, though any edits will flow to results.</t>
  </si>
  <si>
    <t>Result: Effort Adjusted Replacement Cost, $</t>
  </si>
  <si>
    <t xml:space="preserve">Adjusted Result, discounted for known overestimation, $: </t>
  </si>
  <si>
    <t>▪  The above result is then discounted by 2.5x and shown as an alternative result in D40 in order to adjust for known overestimations (discount may be edited in cell D39). See notes in Background section.</t>
  </si>
  <si>
    <t>▪  The standard result (replacement cost estimate via COCOMO) is shown in cell D37.</t>
  </si>
  <si>
    <t>COCOMO is a common estimation method, and it has a number of shortcomings. Please see 'Background' section for more.</t>
  </si>
  <si>
    <t>Because the traditional COCOMO-based approach overestimates historical development costs, we also show a heavily discounted version (Adjusted COCOMO; 2.5x less than the traditional COCOMO based on academic research.)</t>
  </si>
  <si>
    <t>This code-based approach takes the perspective that a product’s development cost can be estimated by evaluating its size, scope, and effort along with anticipated salaries.</t>
  </si>
  <si>
    <t>The approach used here (COCOMO 81 Intermediate), uses an "Effort Adjustment Factor" that allows users to subjectively weight a number of factors that influence development costs.</t>
  </si>
  <si>
    <t>□  Input the estimated annual salary and benefits of a software developer in cell D36. Ensure this is calibrated for your market (and consider if this should match salaries shown in the FTE-based approach).</t>
  </si>
  <si>
    <t xml:space="preserve"> - Recommend use of an average salary across all anticipated software developers. Typical salaries may be retrieved from websites such as www.glassdoor.com, and if unknown, benefits may be estimated as 30% of salary.</t>
  </si>
  <si>
    <t xml:space="preserve">▪  Both of these results are shown in the Results Summary table immediately below, and linked to the results and visuals worksheets. </t>
  </si>
  <si>
    <t>(1) Estimate the annual spend necessary to maintain the functionality of the global good, based on its original development cost:</t>
  </si>
  <si>
    <t>(2) Project more detail within the annual budget by identifying and allocating among cost categories:</t>
  </si>
  <si>
    <t>(3) If relevant, define additional annual funding and estimate its allocation across budget categories:</t>
  </si>
  <si>
    <t>Table 3: Defined additional funding and allocations - see Table 4 for context</t>
  </si>
  <si>
    <t>[ sample GG ]</t>
  </si>
  <si>
    <t>Salaries and benefits paid directly are representative of market salaries specific to the location of the development. These salaries should be used for both the FTE and COCOMO salary estimates to ensure assumption consistency. (Alternatively, a different market-sector salary + benefits estimate can be used as long as consistent.)
Note: Typical salaries may be retrieved from websites such as www.glassdoor.com, and if unknown, benefits may be estimated as 30% of salary.</t>
  </si>
  <si>
    <t xml:space="preserve">Replacement time in FTE months (KLOC = 1,000 lines of code) = </t>
  </si>
  <si>
    <t xml:space="preserve">where: </t>
  </si>
  <si>
    <t>1) Summarize the completed retrospective development cost results</t>
  </si>
  <si>
    <t>2) Provide the user an opportunity to select one of those retrospective cost results as the basis for the ongoing development costs.</t>
  </si>
  <si>
    <t>These results are used to estimate ongoing costs associated with the global good; analysis on the next worksheet.</t>
  </si>
  <si>
    <t xml:space="preserve">Ongoing development costs can be estimated as a percentage of the original (restrospective) development cost. </t>
  </si>
  <si>
    <t>Since this framework provides several methods to determine restrospective development cost, user discretion is required to determine the best approximation.</t>
  </si>
  <si>
    <t>User descretion should be rooted in close knowledge of the software global good which should inform the closest approximation to actual.</t>
  </si>
  <si>
    <t>1) Summary of retrospective development cost results</t>
  </si>
  <si>
    <t>Retrospective development cost estimates by approach</t>
  </si>
  <si>
    <r>
      <t xml:space="preserve">If another estimate should be used as the basis for the ongoing cost development, or such spending is known, it may be overwritten in the worksheet </t>
    </r>
    <r>
      <rPr>
        <i/>
        <sz val="11"/>
        <color theme="1"/>
        <rFont val="Calibri"/>
        <family val="2"/>
        <scheme val="minor"/>
      </rPr>
      <t>'Ongoing_Dev'.</t>
    </r>
  </si>
  <si>
    <t>Note: Column C within the table includes white-text references used in the drop-down menu.</t>
  </si>
  <si>
    <t>This worksheet has two goals:</t>
  </si>
  <si>
    <t>2) In cell E26, select the chosen approach (or median/average) to use as the basis for the ongoing development cost:</t>
  </si>
  <si>
    <t>Additionally, please review the context on this model below and at the end of this workbook, in the 'Background' section.</t>
  </si>
  <si>
    <t>Summary context</t>
  </si>
  <si>
    <r>
      <t xml:space="preserve">Select choice of retrospective cost approach from drop-down menu </t>
    </r>
    <r>
      <rPr>
        <b/>
        <sz val="11"/>
        <rFont val="Calibri"/>
        <family val="2"/>
      </rPr>
      <t>→</t>
    </r>
  </si>
  <si>
    <t>Together these estimations of financial investments into software global goods provide a calculation of their valuation to-date, and can serve as a data point for consideration by decision-makers in selecting software systems to meet country public health needs. While the framework and this paper were developed in the context of global health sector opportunities and need, these tools and the findings their use enables can be more broadly relevant in other development sectors as well.</t>
  </si>
  <si>
    <r>
      <t>The Software Global Goods: A Valuation Framework</t>
    </r>
    <r>
      <rPr>
        <sz val="12"/>
        <color rgb="FF000000"/>
        <rFont val="Calibri"/>
        <family val="2"/>
        <scheme val="minor"/>
      </rPr>
      <t xml:space="preserve">, or Framework for short, is an Excel-based tool that enables donors, software development organizations, governments, and others to estimate the </t>
    </r>
    <r>
      <rPr>
        <b/>
        <sz val="12"/>
        <color rgb="FF000000"/>
        <rFont val="Calibri"/>
        <family val="2"/>
        <scheme val="minor"/>
      </rPr>
      <t>cumulative development cost</t>
    </r>
    <r>
      <rPr>
        <sz val="12"/>
        <color rgb="FF000000"/>
        <rFont val="Calibri"/>
        <family val="2"/>
        <scheme val="minor"/>
      </rPr>
      <t xml:space="preserve"> for software global goods. This estimation is based on two key outputs:</t>
    </r>
  </si>
  <si>
    <r>
      <t xml:space="preserve">1. The </t>
    </r>
    <r>
      <rPr>
        <b/>
        <sz val="12"/>
        <color rgb="FF000000"/>
        <rFont val="Calibri"/>
        <family val="2"/>
        <scheme val="minor"/>
      </rPr>
      <t>retrospective development</t>
    </r>
    <r>
      <rPr>
        <sz val="12"/>
        <color rgb="FF000000"/>
        <rFont val="Calibri"/>
        <family val="2"/>
        <scheme val="minor"/>
      </rPr>
      <t xml:space="preserve"> costs of a software global good</t>
    </r>
  </si>
  <si>
    <r>
      <t xml:space="preserve">2. The </t>
    </r>
    <r>
      <rPr>
        <b/>
        <sz val="12"/>
        <color rgb="FF000000"/>
        <rFont val="Calibri"/>
        <family val="2"/>
        <scheme val="minor"/>
      </rPr>
      <t>ongoing costs</t>
    </r>
    <r>
      <rPr>
        <sz val="12"/>
        <color rgb="FF000000"/>
        <rFont val="Calibri"/>
        <family val="2"/>
        <scheme val="minor"/>
      </rPr>
      <t xml:space="preserve"> of maintaining or further developing the software’s core functionality</t>
    </r>
  </si>
  <si>
    <t>Cumulative developed cost comprises both the retrospective development costs and ongoing maintenance and product development costs of a particular global good. At a high level, these two cost categories can be broken down in the following way:</t>
  </si>
  <si>
    <t>Retrospective Project Development Costs:</t>
  </si>
  <si>
    <t>This category refers to the costs to develop the initial global good to its current state, including gathering requirements, designing, developing, testing, and deploying the global good.</t>
  </si>
  <si>
    <t xml:space="preserve">Three separate methodologies were used in combination to evaluate the first category, retrospective project development costs: </t>
  </si>
  <si>
    <t>Three separate calculation methods were leveraged to create a range of values for any given development project in case any one method over- or underestimated costs.  </t>
  </si>
  <si>
    <t>Ongoing Development Costs:</t>
  </si>
  <si>
    <t>This category refers to the annual operating costs to maintain, enhance, and expand the core global good, including development work for new releases with progressive improvements, maintenance of the global good, infrastructure costs, community support costs, and overhead. This estimation included costs of keeping the software functional and operational as well as costs related to enhancing and improving the framework to keep it competitive.</t>
  </si>
  <si>
    <t>How does this tool work?</t>
  </si>
  <si>
    <r>
      <t>An FTE-based analysis</t>
    </r>
    <r>
      <rPr>
        <sz val="12"/>
        <color rgb="FF000000"/>
        <rFont val="Calibri"/>
        <family val="2"/>
        <scheme val="minor"/>
      </rPr>
      <t xml:space="preserve">, which assesses staff-hours that have gone into developing a global good over time and includes a number of labor categories. </t>
    </r>
  </si>
  <si>
    <r>
      <t>A revenue-based analysis</t>
    </r>
    <r>
      <rPr>
        <sz val="12"/>
        <color rgb="FF000000"/>
        <rFont val="Calibri"/>
        <family val="2"/>
        <scheme val="minor"/>
      </rPr>
      <t xml:space="preserve">, which measures total grants and other spend that have gone into building the core global good. </t>
    </r>
  </si>
  <si>
    <r>
      <t>A code-based analysis</t>
    </r>
    <r>
      <rPr>
        <sz val="12"/>
        <color rgb="FF000000"/>
        <rFont val="Calibri"/>
        <family val="2"/>
        <scheme val="minor"/>
      </rPr>
      <t xml:space="preserve"> called COCOMO 81, which estimates development effort based on the number of lines of code in the product.  Output from the COCOMO approach can be viewed as an approximation of the replacement cost for a global good if all effort was to be compensated at fair market value. </t>
    </r>
  </si>
  <si>
    <t>The following tabs contain more detailed information on the methodology behind the three retrospective cost estimation approaches and the ongoing cost estimation approach, advantages and disadvantages of each, as well as overall insights and learnings from the costing analyses of these three global goods.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</si>
</sst>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0"/>
    <numFmt numFmtId="166" formatCode="_(&quot;$&quot;* #,##0.0_);_(&quot;$&quot;* \(#,##0.0\);_(&quot;$&quot;* &quot;-&quot;??_);_(@_)"/>
    <numFmt numFmtId="167" formatCode="_(* #,##0_);_(* \(#,##0\);_(* &quot;-&quot;??_);_(@_)"/>
    <numFmt numFmtId="168" formatCode="#,##0.0_);\(#,##0.0\)"/>
    <numFmt numFmtId="169" formatCode="&quot;$&quot;#,##0.0_);\(&quot;$&quot;#,##0.0\)"/>
    <numFmt numFmtId="170" formatCode="#,##0.0%_);\(#,##0.0%\)"/>
    <numFmt numFmtId="171" formatCode="#,##0%_);\(#,##0%\)"/>
    <numFmt numFmtId="172" formatCode="mmmm\ yyyy"/>
    <numFmt numFmtId="173" formatCode="[$-409]d\-mmm\-yyyy;@"/>
    <numFmt numFmtId="174" formatCode="&quot;$&quot;#,##0.000_);\(&quot;$&quot;#,##0.000\)"/>
    <numFmt numFmtId="175" formatCode="_([$$-409]* #,##0_);_([$$-409]* \(#,##0\);_([$$-409]* &quot;-&quot;??_);_(@_)"/>
    <numFmt numFmtId="176" formatCode="_(* #,##0\);_(* \(#,##0\);_(* &quot;-&quot;??_);_(@_)"/>
    <numFmt numFmtId="177" formatCode="#\)\ "/>
  </numFmts>
  <fonts count="92"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sz val="7"/>
      <color theme="1"/>
      <name val="Times New Roman"/>
      <family val="1"/>
    </font>
    <font>
      <b/>
      <sz val="11"/>
      <name val="Calibri"/>
      <family val="2"/>
      <scheme val="minor"/>
    </font>
    <font>
      <sz val="11"/>
      <name val="Calibri"/>
      <family val="2"/>
      <scheme val="minor"/>
    </font>
    <font>
      <sz val="10"/>
      <name val="Arial"/>
      <family val="2"/>
    </font>
    <font>
      <b/>
      <sz val="12"/>
      <name val="Calibri"/>
      <family val="2"/>
      <scheme val="minor"/>
    </font>
    <font>
      <sz val="11"/>
      <color rgb="FF0000FF"/>
      <name val="Calibri"/>
      <family val="2"/>
      <scheme val="minor"/>
    </font>
    <font>
      <sz val="11"/>
      <color rgb="FF000000"/>
      <name val="Calibri"/>
      <family val="2"/>
      <scheme val="minor"/>
    </font>
    <font>
      <i/>
      <sz val="11"/>
      <name val="Calibri"/>
      <family val="2"/>
      <scheme val="minor"/>
    </font>
    <font>
      <b/>
      <sz val="11"/>
      <color rgb="FF000000"/>
      <name val="Calibri"/>
      <family val="2"/>
      <scheme val="minor"/>
    </font>
    <font>
      <sz val="10"/>
      <color rgb="FF0000FF"/>
      <name val="Calibri"/>
      <family val="2"/>
      <scheme val="minor"/>
    </font>
    <font>
      <sz val="10"/>
      <color rgb="FF000000"/>
      <name val="Calibri"/>
      <family val="2"/>
      <scheme val="minor"/>
    </font>
    <font>
      <b/>
      <sz val="11"/>
      <color rgb="FFFFFFFF"/>
      <name val="Calibri"/>
      <family val="2"/>
      <scheme val="minor"/>
    </font>
    <font>
      <i/>
      <sz val="11"/>
      <color rgb="FFFFFFFF"/>
      <name val="Calibri"/>
      <family val="2"/>
      <scheme val="minor"/>
    </font>
    <font>
      <sz val="11"/>
      <color rgb="FFFFFFFF"/>
      <name val="Calibri"/>
      <family val="2"/>
      <scheme val="minor"/>
    </font>
    <font>
      <sz val="11"/>
      <color rgb="FFFF0000"/>
      <name val="Calibri"/>
      <family val="2"/>
      <scheme val="minor"/>
    </font>
    <font>
      <b/>
      <sz val="5"/>
      <color theme="0"/>
      <name val="Calibri"/>
      <family val="2"/>
      <scheme val="minor"/>
    </font>
    <font>
      <sz val="11"/>
      <color rgb="FF008000"/>
      <name val="Calibri"/>
      <family val="2"/>
      <scheme val="minor"/>
    </font>
    <font>
      <b/>
      <sz val="11"/>
      <color rgb="FF0000FF"/>
      <name val="Calibri"/>
      <family val="2"/>
      <scheme val="minor"/>
    </font>
    <font>
      <sz val="12"/>
      <name val="Calibri"/>
      <family val="2"/>
      <scheme val="minor"/>
    </font>
    <font>
      <b/>
      <sz val="12"/>
      <color theme="1"/>
      <name val="Calibri"/>
      <family val="2"/>
      <scheme val="minor"/>
    </font>
    <font>
      <b/>
      <sz val="12"/>
      <color theme="0"/>
      <name val="Calibri"/>
      <family val="2"/>
      <scheme val="minor"/>
    </font>
    <font>
      <sz val="11.5"/>
      <color theme="1"/>
      <name val="Calibri"/>
      <family val="2"/>
      <scheme val="minor"/>
    </font>
    <font>
      <b/>
      <u/>
      <sz val="11"/>
      <color rgb="FFFFFFFF"/>
      <name val="Calibri"/>
      <family val="2"/>
      <scheme val="minor"/>
    </font>
    <font>
      <sz val="10"/>
      <color rgb="FF000000"/>
      <name val="Arial"/>
      <family val="2"/>
    </font>
    <font>
      <b/>
      <sz val="10"/>
      <name val="Calibri"/>
      <family val="2"/>
      <scheme val="minor"/>
    </font>
    <font>
      <sz val="10"/>
      <name val="Calibri"/>
      <family val="2"/>
      <scheme val="minor"/>
    </font>
    <font>
      <b/>
      <u/>
      <sz val="11"/>
      <name val="Calibri"/>
      <family val="2"/>
      <scheme val="minor"/>
    </font>
    <font>
      <sz val="9"/>
      <color indexed="81"/>
      <name val="Tahoma"/>
      <family val="2"/>
    </font>
    <font>
      <b/>
      <sz val="9"/>
      <color indexed="81"/>
      <name val="Tahoma"/>
      <family val="2"/>
    </font>
    <font>
      <sz val="9"/>
      <name val="Calibri"/>
      <family val="2"/>
      <scheme val="minor"/>
    </font>
    <font>
      <b/>
      <sz val="11"/>
      <color rgb="FF008000"/>
      <name val="Calibri"/>
      <family val="2"/>
      <scheme val="minor"/>
    </font>
    <font>
      <sz val="9"/>
      <color theme="1"/>
      <name val="Calibri"/>
      <family val="2"/>
      <scheme val="minor"/>
    </font>
    <font>
      <sz val="11"/>
      <color theme="1" tint="0.499984740745262"/>
      <name val="Calibri"/>
      <family val="2"/>
      <scheme val="minor"/>
    </font>
    <font>
      <b/>
      <sz val="11"/>
      <color theme="1"/>
      <name val="Calibri"/>
      <family val="2"/>
    </font>
    <font>
      <u/>
      <sz val="11"/>
      <color theme="1"/>
      <name val="Calibri"/>
      <family val="2"/>
      <scheme val="minor"/>
    </font>
    <font>
      <u/>
      <sz val="11"/>
      <name val="Calibri"/>
      <family val="2"/>
      <scheme val="minor"/>
    </font>
    <font>
      <sz val="9"/>
      <color theme="1" tint="0.499984740745262"/>
      <name val="Calibri"/>
      <family val="2"/>
      <scheme val="minor"/>
    </font>
    <font>
      <sz val="11.5"/>
      <color rgb="FF0000FF"/>
      <name val="Calibri"/>
      <family val="2"/>
      <scheme val="minor"/>
    </font>
    <font>
      <sz val="6"/>
      <color rgb="FFFF0000"/>
      <name val="Calibri"/>
      <family val="2"/>
      <scheme val="minor"/>
    </font>
    <font>
      <sz val="10"/>
      <color theme="1"/>
      <name val="Calibri"/>
      <family val="2"/>
      <scheme val="minor"/>
    </font>
    <font>
      <b/>
      <vertAlign val="subscript"/>
      <sz val="11"/>
      <color rgb="FFFFFFFF"/>
      <name val="Calibri"/>
      <family val="2"/>
      <scheme val="minor"/>
    </font>
    <font>
      <b/>
      <sz val="10"/>
      <color rgb="FFFFFFFF"/>
      <name val="Calibri"/>
      <family val="2"/>
      <scheme val="minor"/>
    </font>
    <font>
      <sz val="10.75"/>
      <color theme="1"/>
      <name val="Calibri"/>
      <family val="2"/>
      <scheme val="minor"/>
    </font>
    <font>
      <sz val="10"/>
      <color rgb="FF008000"/>
      <name val="Calibri"/>
      <family val="2"/>
      <scheme val="minor"/>
    </font>
    <font>
      <b/>
      <sz val="10"/>
      <color rgb="FF000000"/>
      <name val="Calibri"/>
      <family val="2"/>
      <scheme val="minor"/>
    </font>
    <font>
      <sz val="11"/>
      <color theme="0" tint="-0.499984740745262"/>
      <name val="Calibri"/>
      <family val="2"/>
      <scheme val="minor"/>
    </font>
    <font>
      <sz val="9"/>
      <color theme="0" tint="-0.499984740745262"/>
      <name val="Calibri"/>
      <family val="2"/>
      <scheme val="minor"/>
    </font>
    <font>
      <b/>
      <sz val="10"/>
      <color theme="0" tint="-0.499984740745262"/>
      <name val="Calibri"/>
      <family val="2"/>
      <scheme val="minor"/>
    </font>
    <font>
      <i/>
      <sz val="9"/>
      <color theme="0" tint="-0.499984740745262"/>
      <name val="Calibri"/>
      <family val="2"/>
      <scheme val="minor"/>
    </font>
    <font>
      <sz val="12"/>
      <color rgb="FF0000FF"/>
      <name val="Calibri"/>
      <family val="2"/>
      <scheme val="minor"/>
    </font>
    <font>
      <b/>
      <sz val="12"/>
      <color rgb="FF0000FF"/>
      <name val="Calibri"/>
      <family val="2"/>
      <scheme val="minor"/>
    </font>
    <font>
      <b/>
      <sz val="12"/>
      <color rgb="FFFFFFFF"/>
      <name val="Calibri"/>
      <family val="2"/>
      <scheme val="minor"/>
    </font>
    <font>
      <sz val="12"/>
      <color rgb="FFFF0000"/>
      <name val="Calibri"/>
      <family val="2"/>
      <scheme val="minor"/>
    </font>
    <font>
      <sz val="12"/>
      <color rgb="FF595959"/>
      <name val="Calibri"/>
      <family val="2"/>
      <scheme val="minor"/>
    </font>
    <font>
      <i/>
      <sz val="12"/>
      <name val="Calibri"/>
      <family val="2"/>
      <scheme val="minor"/>
    </font>
    <font>
      <sz val="12"/>
      <color rgb="FFFFFFFF"/>
      <name val="Calibri"/>
      <family val="2"/>
      <scheme val="minor"/>
    </font>
    <font>
      <sz val="12"/>
      <color rgb="FF0000FF"/>
      <name val="Calibri"/>
      <family val="2"/>
    </font>
    <font>
      <sz val="9"/>
      <color rgb="FF0000FF"/>
      <name val="Calibri"/>
      <family val="2"/>
    </font>
    <font>
      <b/>
      <sz val="12"/>
      <color rgb="FFFF0000"/>
      <name val="Calibri"/>
      <family val="2"/>
      <scheme val="minor"/>
    </font>
    <font>
      <b/>
      <u/>
      <sz val="12"/>
      <name val="Calibri"/>
      <family val="2"/>
      <scheme val="minor"/>
    </font>
    <font>
      <b/>
      <i/>
      <sz val="11"/>
      <color rgb="FF008000"/>
      <name val="Calibri"/>
      <family val="2"/>
      <scheme val="minor"/>
    </font>
    <font>
      <sz val="14"/>
      <color theme="1"/>
      <name val="Calibri"/>
      <family val="2"/>
      <scheme val="minor"/>
    </font>
    <font>
      <sz val="14"/>
      <color theme="1"/>
      <name val="Calibri"/>
      <family val="2"/>
    </font>
    <font>
      <i/>
      <sz val="11"/>
      <color theme="0"/>
      <name val="Calibri"/>
      <family val="2"/>
      <scheme val="minor"/>
    </font>
    <font>
      <sz val="12"/>
      <color theme="1"/>
      <name val="Calibri"/>
      <family val="2"/>
      <scheme val="minor"/>
    </font>
    <font>
      <i/>
      <sz val="11"/>
      <color rgb="FF000000"/>
      <name val="Calibri"/>
      <family val="2"/>
      <scheme val="minor"/>
    </font>
    <font>
      <b/>
      <sz val="10.5"/>
      <color rgb="FFFFFFFF"/>
      <name val="Calibri"/>
      <family val="2"/>
      <scheme val="minor"/>
    </font>
    <font>
      <sz val="10.5"/>
      <name val="Calibri"/>
      <family val="2"/>
      <scheme val="minor"/>
    </font>
    <font>
      <b/>
      <i/>
      <sz val="11"/>
      <name val="Calibri"/>
      <family val="2"/>
      <scheme val="minor"/>
    </font>
    <font>
      <b/>
      <u/>
      <sz val="11"/>
      <color rgb="FF008000"/>
      <name val="Calibri"/>
      <family val="2"/>
      <scheme val="minor"/>
    </font>
    <font>
      <i/>
      <sz val="11"/>
      <color rgb="FF0000FF"/>
      <name val="Calibri"/>
      <family val="2"/>
      <scheme val="minor"/>
    </font>
    <font>
      <b/>
      <i/>
      <sz val="11"/>
      <color rgb="FF000000"/>
      <name val="Calibri"/>
      <family val="2"/>
      <scheme val="minor"/>
    </font>
    <font>
      <i/>
      <sz val="9"/>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i/>
      <sz val="11"/>
      <color theme="1"/>
      <name val="Calibri"/>
      <family val="2"/>
      <scheme val="minor"/>
    </font>
    <font>
      <b/>
      <u/>
      <sz val="11"/>
      <color theme="1"/>
      <name val="Calibri"/>
      <family val="2"/>
      <scheme val="minor"/>
    </font>
    <font>
      <b/>
      <sz val="11"/>
      <name val="Calibri"/>
      <family val="2"/>
    </font>
    <font>
      <i/>
      <sz val="12"/>
      <color rgb="FF000000"/>
      <name val="Calibri"/>
      <family val="2"/>
      <scheme val="minor"/>
    </font>
    <font>
      <sz val="12"/>
      <color rgb="FF000000"/>
      <name val="Calibri"/>
      <family val="2"/>
      <scheme val="minor"/>
    </font>
    <font>
      <b/>
      <sz val="12"/>
      <color rgb="FF000000"/>
      <name val="Calibri"/>
      <family val="2"/>
      <scheme val="minor"/>
    </font>
    <font>
      <b/>
      <sz val="12"/>
      <color rgb="FF376092"/>
      <name val="Calibri"/>
      <family val="2"/>
      <scheme val="minor"/>
    </font>
    <font>
      <u/>
      <sz val="12"/>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FFFF99"/>
        <bgColor indexed="64"/>
      </patternFill>
    </fill>
    <fill>
      <patternFill patternType="solid">
        <fgColor rgb="FFD9D9D9"/>
        <bgColor indexed="64"/>
      </patternFill>
    </fill>
    <fill>
      <patternFill patternType="solid">
        <fgColor rgb="FF1F497D"/>
        <bgColor indexed="64"/>
      </patternFill>
    </fill>
    <fill>
      <patternFill patternType="solid">
        <fgColor theme="1" tint="0.499984740745262"/>
        <bgColor indexed="64"/>
      </patternFill>
    </fill>
    <fill>
      <patternFill patternType="solid">
        <fgColor theme="4" tint="0.79998168889431442"/>
        <bgColor indexed="64"/>
      </patternFill>
    </fill>
  </fills>
  <borders count="80">
    <border>
      <left/>
      <right/>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thin">
        <color indexed="64"/>
      </right>
      <top style="hair">
        <color theme="0" tint="-0.24994659260841701"/>
      </top>
      <bottom style="hair">
        <color theme="0" tint="-0.24994659260841701"/>
      </bottom>
      <diagonal/>
    </border>
    <border>
      <left style="thin">
        <color indexed="64"/>
      </left>
      <right/>
      <top/>
      <bottom style="medium">
        <color indexed="64"/>
      </bottom>
      <diagonal/>
    </border>
    <border>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style="thin">
        <color indexed="64"/>
      </left>
      <right style="thin">
        <color indexed="64"/>
      </right>
      <top style="thin">
        <color indexed="64"/>
      </top>
      <bottom style="hair">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theme="0" tint="-0.34998626667073579"/>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theme="0" tint="-0.2499465926084170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style="thin">
        <color indexed="64"/>
      </top>
      <bottom style="hair">
        <color theme="0" tint="-0.24994659260841701"/>
      </bottom>
      <diagonal/>
    </border>
    <border>
      <left/>
      <right/>
      <top style="thin">
        <color indexed="64"/>
      </top>
      <bottom style="hair">
        <color theme="0" tint="-0.24994659260841701"/>
      </bottom>
      <diagonal/>
    </border>
    <border>
      <left/>
      <right/>
      <top style="hair">
        <color theme="0" tint="-0.24994659260841701"/>
      </top>
      <bottom style="thin">
        <color indexed="64"/>
      </bottom>
      <diagonal/>
    </border>
    <border>
      <left/>
      <right style="thin">
        <color indexed="64"/>
      </right>
      <top style="thin">
        <color indexed="64"/>
      </top>
      <bottom style="hair">
        <color theme="0" tint="-0.24994659260841701"/>
      </bottom>
      <diagonal/>
    </border>
    <border>
      <left style="thin">
        <color indexed="64"/>
      </left>
      <right/>
      <top style="hair">
        <color theme="0" tint="-0.24994659260841701"/>
      </top>
      <bottom/>
      <diagonal/>
    </border>
    <border>
      <left/>
      <right style="thin">
        <color indexed="64"/>
      </right>
      <top style="hair">
        <color theme="0" tint="-0.24994659260841701"/>
      </top>
      <bottom/>
      <diagonal/>
    </border>
    <border>
      <left/>
      <right/>
      <top/>
      <bottom style="hair">
        <color theme="0" tint="-0.24994659260841701"/>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s>
  <cellStyleXfs count="8">
    <xf numFmtId="0" fontId="0" fillId="0" borderId="0"/>
    <xf numFmtId="44" fontId="4"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0" fontId="31" fillId="0" borderId="0"/>
    <xf numFmtId="0" fontId="31" fillId="0" borderId="0"/>
  </cellStyleXfs>
  <cellXfs count="627">
    <xf numFmtId="0" fontId="0" fillId="0" borderId="0" xfId="0"/>
    <xf numFmtId="0" fontId="0" fillId="0" borderId="0" xfId="0" applyBorder="1"/>
    <xf numFmtId="0" fontId="0" fillId="0" borderId="0" xfId="0" applyFill="1" applyBorder="1"/>
    <xf numFmtId="0" fontId="0" fillId="0" borderId="0" xfId="0" applyFill="1"/>
    <xf numFmtId="0" fontId="5" fillId="0" borderId="0" xfId="0" applyFont="1" applyFill="1" applyBorder="1" applyAlignment="1"/>
    <xf numFmtId="0" fontId="1" fillId="0" borderId="0" xfId="0" applyFont="1" applyFill="1" applyBorder="1"/>
    <xf numFmtId="0" fontId="10" fillId="0" borderId="0" xfId="0" applyFont="1" applyBorder="1"/>
    <xf numFmtId="0" fontId="10" fillId="0" borderId="0" xfId="0" applyFont="1" applyBorder="1" applyAlignment="1">
      <alignment horizontal="left"/>
    </xf>
    <xf numFmtId="0" fontId="12" fillId="0" borderId="0" xfId="0" applyFont="1" applyFill="1" applyBorder="1" applyAlignment="1">
      <alignment horizontal="left" vertical="center"/>
    </xf>
    <xf numFmtId="0" fontId="5" fillId="0" borderId="0" xfId="0" applyFont="1" applyFill="1" applyBorder="1" applyAlignment="1">
      <alignment horizontal="center" vertical="center"/>
    </xf>
    <xf numFmtId="166" fontId="0" fillId="0" borderId="0" xfId="1" applyNumberFormat="1" applyFont="1" applyFill="1" applyBorder="1"/>
    <xf numFmtId="0" fontId="10" fillId="0" borderId="0" xfId="0" applyFont="1"/>
    <xf numFmtId="165" fontId="9" fillId="0" borderId="0" xfId="0" applyNumberFormat="1" applyFont="1"/>
    <xf numFmtId="0" fontId="9" fillId="0" borderId="0" xfId="0" applyFont="1"/>
    <xf numFmtId="0" fontId="10" fillId="0" borderId="0" xfId="0" applyFont="1" applyFill="1" applyBorder="1"/>
    <xf numFmtId="0" fontId="9" fillId="0" borderId="0" xfId="0" applyFont="1" applyFill="1" applyBorder="1"/>
    <xf numFmtId="0" fontId="12" fillId="0" borderId="0" xfId="0" applyFont="1"/>
    <xf numFmtId="0" fontId="0" fillId="0" borderId="0" xfId="0" applyFont="1"/>
    <xf numFmtId="0" fontId="1" fillId="0" borderId="13" xfId="0" applyFont="1" applyFill="1" applyBorder="1" applyAlignment="1">
      <alignment horizontal="left" indent="2"/>
    </xf>
    <xf numFmtId="0" fontId="0" fillId="0" borderId="3" xfId="0" applyFont="1" applyFill="1" applyBorder="1" applyAlignment="1">
      <alignment horizontal="left" indent="1"/>
    </xf>
    <xf numFmtId="0" fontId="20" fillId="6" borderId="0" xfId="0" applyFont="1" applyFill="1" applyBorder="1" applyAlignment="1">
      <alignment wrapText="1"/>
    </xf>
    <xf numFmtId="0" fontId="21" fillId="6" borderId="0" xfId="0" applyFont="1" applyFill="1" applyBorder="1"/>
    <xf numFmtId="0" fontId="15" fillId="6" borderId="0" xfId="0" applyFont="1" applyFill="1" applyBorder="1" applyAlignment="1">
      <alignment wrapText="1"/>
    </xf>
    <xf numFmtId="0" fontId="10" fillId="6" borderId="0" xfId="0" applyFont="1" applyFill="1" applyBorder="1"/>
    <xf numFmtId="0" fontId="21" fillId="6" borderId="12" xfId="0" applyFont="1" applyFill="1" applyBorder="1"/>
    <xf numFmtId="0" fontId="19" fillId="6" borderId="11" xfId="0" applyFont="1" applyFill="1" applyBorder="1" applyAlignment="1">
      <alignment horizontal="left"/>
    </xf>
    <xf numFmtId="0" fontId="26" fillId="0" borderId="0" xfId="0" applyFont="1"/>
    <xf numFmtId="0" fontId="10" fillId="0" borderId="0" xfId="0" applyFont="1" applyBorder="1" applyAlignment="1">
      <alignment vertical="top" wrapText="1"/>
    </xf>
    <xf numFmtId="0" fontId="10" fillId="0" borderId="18" xfId="0" applyFont="1" applyFill="1" applyBorder="1" applyAlignment="1">
      <alignment vertical="center" wrapText="1"/>
    </xf>
    <xf numFmtId="0" fontId="10" fillId="0" borderId="20" xfId="0" applyFont="1" applyFill="1" applyBorder="1" applyAlignment="1">
      <alignment vertical="center" wrapText="1"/>
    </xf>
    <xf numFmtId="0" fontId="27" fillId="0" borderId="0" xfId="0" applyFont="1"/>
    <xf numFmtId="0" fontId="11" fillId="0" borderId="0" xfId="2"/>
    <xf numFmtId="0" fontId="11" fillId="0" borderId="0" xfId="2"/>
    <xf numFmtId="167" fontId="11" fillId="0" borderId="0" xfId="5" applyNumberFormat="1" applyFont="1"/>
    <xf numFmtId="0" fontId="1" fillId="0" borderId="0" xfId="0" applyFont="1"/>
    <xf numFmtId="0" fontId="13" fillId="0" borderId="0" xfId="0" applyFont="1"/>
    <xf numFmtId="166" fontId="0" fillId="0" borderId="0" xfId="0" applyNumberFormat="1" applyFill="1" applyBorder="1"/>
    <xf numFmtId="0" fontId="0" fillId="5" borderId="15" xfId="0" applyFill="1" applyBorder="1"/>
    <xf numFmtId="0" fontId="0" fillId="5" borderId="16" xfId="0" applyFill="1" applyBorder="1"/>
    <xf numFmtId="0" fontId="0" fillId="5" borderId="17" xfId="0" applyFill="1" applyBorder="1"/>
    <xf numFmtId="0" fontId="0" fillId="5" borderId="20" xfId="0" applyFill="1" applyBorder="1"/>
    <xf numFmtId="167" fontId="33" fillId="0" borderId="18" xfId="5" applyNumberFormat="1" applyFont="1" applyBorder="1"/>
    <xf numFmtId="167" fontId="33" fillId="0" borderId="0" xfId="5" applyNumberFormat="1" applyFont="1" applyBorder="1"/>
    <xf numFmtId="167" fontId="33" fillId="0" borderId="19" xfId="5" applyNumberFormat="1" applyFont="1" applyBorder="1"/>
    <xf numFmtId="167" fontId="33" fillId="0" borderId="20" xfId="5" applyNumberFormat="1" applyFont="1" applyBorder="1"/>
    <xf numFmtId="167" fontId="33" fillId="0" borderId="21" xfId="5" applyNumberFormat="1" applyFont="1" applyBorder="1"/>
    <xf numFmtId="0" fontId="34" fillId="0" borderId="0" xfId="0" applyFont="1" applyFill="1" applyBorder="1"/>
    <xf numFmtId="0" fontId="15" fillId="0" borderId="0" xfId="0" applyFont="1"/>
    <xf numFmtId="0" fontId="9" fillId="0" borderId="0" xfId="0" applyFont="1" applyBorder="1"/>
    <xf numFmtId="3" fontId="10" fillId="0" borderId="0" xfId="0" applyNumberFormat="1" applyFont="1" applyBorder="1"/>
    <xf numFmtId="0" fontId="9" fillId="0" borderId="0" xfId="0" quotePrefix="1" applyFont="1" applyFill="1" applyAlignment="1">
      <alignment horizontal="left" indent="1"/>
    </xf>
    <xf numFmtId="0" fontId="22" fillId="0" borderId="0" xfId="0" applyFont="1"/>
    <xf numFmtId="0" fontId="10" fillId="0" borderId="0" xfId="0" applyFont="1" applyFill="1" applyBorder="1" applyAlignment="1">
      <alignment horizontal="left" indent="2"/>
    </xf>
    <xf numFmtId="0" fontId="19" fillId="7" borderId="27" xfId="0" applyFont="1" applyFill="1" applyBorder="1" applyAlignment="1">
      <alignment vertical="top"/>
    </xf>
    <xf numFmtId="0" fontId="21" fillId="7" borderId="28" xfId="0" applyFont="1" applyFill="1" applyBorder="1"/>
    <xf numFmtId="0" fontId="21" fillId="7" borderId="29" xfId="0" applyFont="1" applyFill="1" applyBorder="1"/>
    <xf numFmtId="0" fontId="19" fillId="6" borderId="15" xfId="0" applyFont="1" applyFill="1" applyBorder="1"/>
    <xf numFmtId="0" fontId="19" fillId="6" borderId="16" xfId="0" applyFont="1" applyFill="1" applyBorder="1"/>
    <xf numFmtId="0" fontId="19" fillId="6" borderId="16" xfId="0" applyFont="1" applyFill="1" applyBorder="1" applyAlignment="1">
      <alignment wrapText="1"/>
    </xf>
    <xf numFmtId="0" fontId="19" fillId="6" borderId="17" xfId="0" applyFont="1" applyFill="1" applyBorder="1" applyAlignment="1">
      <alignment wrapText="1"/>
    </xf>
    <xf numFmtId="0" fontId="0" fillId="0" borderId="12" xfId="0" applyBorder="1" applyAlignment="1">
      <alignment vertical="center"/>
    </xf>
    <xf numFmtId="0" fontId="0" fillId="0" borderId="11" xfId="0" applyBorder="1" applyAlignment="1">
      <alignment vertical="center"/>
    </xf>
    <xf numFmtId="0" fontId="0" fillId="2" borderId="12" xfId="0" applyFill="1" applyBorder="1" applyAlignment="1">
      <alignment horizontal="left" vertical="center" wrapText="1"/>
    </xf>
    <xf numFmtId="0" fontId="0" fillId="0" borderId="18" xfId="0" applyBorder="1" applyAlignment="1">
      <alignment vertical="center" wrapText="1"/>
    </xf>
    <xf numFmtId="0" fontId="0" fillId="0" borderId="15" xfId="0" applyBorder="1" applyAlignment="1">
      <alignment vertical="center" wrapText="1"/>
    </xf>
    <xf numFmtId="0" fontId="0" fillId="2" borderId="10" xfId="0" applyFill="1" applyBorder="1" applyAlignment="1">
      <alignment vertical="center" wrapText="1"/>
    </xf>
    <xf numFmtId="0" fontId="0" fillId="2" borderId="17" xfId="0" applyFill="1" applyBorder="1" applyAlignment="1">
      <alignment vertical="center" wrapText="1"/>
    </xf>
    <xf numFmtId="0" fontId="0" fillId="2" borderId="22" xfId="0" applyFill="1" applyBorder="1" applyAlignment="1">
      <alignment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xf>
    <xf numFmtId="0" fontId="1" fillId="0" borderId="3" xfId="0" applyFont="1" applyBorder="1"/>
    <xf numFmtId="0" fontId="0" fillId="0" borderId="3" xfId="0" applyFont="1" applyBorder="1"/>
    <xf numFmtId="0" fontId="13" fillId="0" borderId="0" xfId="0" applyFont="1" applyFill="1"/>
    <xf numFmtId="0" fontId="10" fillId="0" borderId="0" xfId="0" applyFont="1" applyFill="1" applyBorder="1" applyAlignment="1">
      <alignment horizontal="left" vertical="top" wrapText="1" indent="2"/>
    </xf>
    <xf numFmtId="0" fontId="9" fillId="0" borderId="0" xfId="0" applyFont="1" applyBorder="1" applyAlignment="1">
      <alignment horizontal="left" indent="1"/>
    </xf>
    <xf numFmtId="0" fontId="9" fillId="0" borderId="0" xfId="0" applyFont="1" applyBorder="1" applyAlignment="1">
      <alignment horizontal="left" indent="2"/>
    </xf>
    <xf numFmtId="0" fontId="10" fillId="0" borderId="0" xfId="0" applyFont="1" applyBorder="1" applyAlignment="1">
      <alignment horizontal="left" indent="2"/>
    </xf>
    <xf numFmtId="0" fontId="34" fillId="0" borderId="0" xfId="0" applyFont="1" applyFill="1" applyBorder="1" applyAlignment="1">
      <alignment horizontal="left"/>
    </xf>
    <xf numFmtId="0" fontId="19" fillId="6" borderId="17" xfId="0" applyFont="1" applyFill="1" applyBorder="1"/>
    <xf numFmtId="0" fontId="10" fillId="0" borderId="19" xfId="0" applyFont="1" applyBorder="1" applyAlignment="1">
      <alignment horizontal="left" wrapText="1"/>
    </xf>
    <xf numFmtId="0" fontId="10" fillId="0" borderId="21" xfId="0" applyFont="1" applyBorder="1" applyAlignment="1">
      <alignment horizontal="left"/>
    </xf>
    <xf numFmtId="0" fontId="10" fillId="0" borderId="22" xfId="0" applyFont="1" applyBorder="1" applyAlignment="1">
      <alignment horizontal="left" wrapText="1"/>
    </xf>
    <xf numFmtId="0" fontId="19" fillId="6" borderId="15" xfId="0" applyFont="1" applyFill="1" applyBorder="1" applyAlignment="1">
      <alignment vertical="top" wrapText="1"/>
    </xf>
    <xf numFmtId="0" fontId="19" fillId="6" borderId="16" xfId="0" applyFont="1" applyFill="1" applyBorder="1" applyAlignment="1">
      <alignment vertical="top" wrapText="1"/>
    </xf>
    <xf numFmtId="0" fontId="19" fillId="6" borderId="17" xfId="0" applyFont="1" applyFill="1" applyBorder="1" applyAlignment="1">
      <alignment vertical="top" wrapText="1"/>
    </xf>
    <xf numFmtId="0" fontId="21" fillId="6" borderId="19" xfId="0" applyFont="1" applyFill="1" applyBorder="1"/>
    <xf numFmtId="0" fontId="13" fillId="4" borderId="23" xfId="0" applyFont="1" applyFill="1" applyBorder="1" applyAlignment="1">
      <alignment horizontal="left" vertical="center"/>
    </xf>
    <xf numFmtId="0" fontId="13" fillId="4" borderId="18" xfId="0" applyFont="1" applyFill="1" applyBorder="1" applyAlignment="1">
      <alignment horizontal="left" vertical="center" wrapText="1"/>
    </xf>
    <xf numFmtId="0" fontId="13" fillId="4" borderId="18" xfId="0" applyFont="1" applyFill="1" applyBorder="1" applyAlignment="1">
      <alignment horizontal="left" vertical="center"/>
    </xf>
    <xf numFmtId="0" fontId="20" fillId="6" borderId="19" xfId="0" applyFont="1" applyFill="1" applyBorder="1" applyAlignment="1">
      <alignment wrapText="1"/>
    </xf>
    <xf numFmtId="0" fontId="21" fillId="7" borderId="28" xfId="0" applyFont="1" applyFill="1" applyBorder="1" applyAlignment="1">
      <alignment vertical="top"/>
    </xf>
    <xf numFmtId="0" fontId="33" fillId="0" borderId="0" xfId="0" applyFont="1" applyFill="1" applyBorder="1" applyAlignment="1">
      <alignment horizontal="left"/>
    </xf>
    <xf numFmtId="0" fontId="28" fillId="6" borderId="0" xfId="0" applyFont="1" applyFill="1" applyBorder="1" applyAlignment="1">
      <alignment horizontal="center" wrapText="1"/>
    </xf>
    <xf numFmtId="0" fontId="19" fillId="6" borderId="3" xfId="0" applyFont="1" applyFill="1" applyBorder="1" applyAlignment="1">
      <alignment horizontal="center"/>
    </xf>
    <xf numFmtId="0" fontId="30" fillId="6" borderId="15" xfId="0" applyFont="1" applyFill="1" applyBorder="1" applyAlignment="1">
      <alignment horizontal="center"/>
    </xf>
    <xf numFmtId="0" fontId="30" fillId="6" borderId="16" xfId="0" applyFont="1" applyFill="1" applyBorder="1" applyAlignment="1">
      <alignment horizontal="center"/>
    </xf>
    <xf numFmtId="0" fontId="30" fillId="6" borderId="17" xfId="0" applyFont="1" applyFill="1" applyBorder="1" applyAlignment="1">
      <alignment horizontal="center"/>
    </xf>
    <xf numFmtId="0" fontId="19" fillId="6" borderId="15" xfId="0" applyFont="1" applyFill="1" applyBorder="1" applyAlignment="1">
      <alignment vertical="top"/>
    </xf>
    <xf numFmtId="0" fontId="10" fillId="6" borderId="19" xfId="0" applyFont="1" applyFill="1" applyBorder="1"/>
    <xf numFmtId="0" fontId="20" fillId="6" borderId="34" xfId="0" applyFont="1" applyFill="1" applyBorder="1" applyAlignment="1">
      <alignment wrapText="1"/>
    </xf>
    <xf numFmtId="0" fontId="19" fillId="6" borderId="17" xfId="0" applyFont="1" applyFill="1" applyBorder="1" applyAlignment="1">
      <alignment horizontal="center" vertical="top" wrapText="1"/>
    </xf>
    <xf numFmtId="0" fontId="40" fillId="0" borderId="0" xfId="0" applyFont="1"/>
    <xf numFmtId="0" fontId="0" fillId="0" borderId="0" xfId="0" quotePrefix="1"/>
    <xf numFmtId="0" fontId="19" fillId="6" borderId="0" xfId="0" applyFont="1" applyFill="1"/>
    <xf numFmtId="0" fontId="0" fillId="0" borderId="0" xfId="0" applyFont="1" applyFill="1" applyBorder="1" applyAlignment="1">
      <alignment vertical="center" wrapText="1"/>
    </xf>
    <xf numFmtId="0" fontId="0" fillId="0" borderId="16" xfId="0" applyBorder="1"/>
    <xf numFmtId="0" fontId="0" fillId="0" borderId="17" xfId="0" applyBorder="1"/>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22" xfId="0" applyFont="1" applyFill="1" applyBorder="1" applyAlignment="1">
      <alignment vertical="center" wrapText="1"/>
    </xf>
    <xf numFmtId="0" fontId="0" fillId="8" borderId="15" xfId="0" applyFont="1" applyFill="1" applyBorder="1" applyAlignment="1">
      <alignment vertical="center"/>
    </xf>
    <xf numFmtId="0" fontId="0" fillId="8" borderId="18" xfId="0" applyFont="1" applyFill="1" applyBorder="1" applyAlignment="1">
      <alignment vertical="center"/>
    </xf>
    <xf numFmtId="0" fontId="0" fillId="8" borderId="20" xfId="0" applyFont="1" applyFill="1" applyBorder="1" applyAlignment="1">
      <alignment vertical="center"/>
    </xf>
    <xf numFmtId="0" fontId="0" fillId="8" borderId="3" xfId="0" applyFont="1" applyFill="1" applyBorder="1" applyAlignment="1">
      <alignment horizontal="center" vertical="center"/>
    </xf>
    <xf numFmtId="0" fontId="3" fillId="0" borderId="0" xfId="0" applyFont="1"/>
    <xf numFmtId="0" fontId="12" fillId="5" borderId="37"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33" fillId="5" borderId="18" xfId="6" applyFont="1" applyFill="1" applyBorder="1" applyAlignment="1"/>
    <xf numFmtId="0" fontId="0" fillId="0" borderId="0" xfId="0" applyAlignment="1">
      <alignment horizontal="left" indent="1"/>
    </xf>
    <xf numFmtId="171" fontId="29" fillId="0" borderId="0" xfId="0" applyNumberFormat="1" applyFont="1" applyFill="1" applyBorder="1" applyAlignment="1">
      <alignment vertical="center" wrapText="1"/>
    </xf>
    <xf numFmtId="0" fontId="39" fillId="0" borderId="35" xfId="0" applyFont="1" applyFill="1" applyBorder="1" applyAlignment="1">
      <alignment vertical="center" wrapText="1"/>
    </xf>
    <xf numFmtId="0" fontId="39" fillId="0" borderId="36" xfId="0" applyFont="1" applyFill="1" applyBorder="1" applyAlignment="1">
      <alignment vertical="center" wrapText="1"/>
    </xf>
    <xf numFmtId="0" fontId="39" fillId="0" borderId="29" xfId="0" applyFont="1" applyBorder="1" applyAlignment="1">
      <alignment vertical="center" wrapText="1"/>
    </xf>
    <xf numFmtId="0" fontId="39" fillId="0" borderId="28" xfId="0" applyFont="1" applyBorder="1" applyAlignment="1">
      <alignment vertical="center" wrapText="1"/>
    </xf>
    <xf numFmtId="0" fontId="39" fillId="0" borderId="21" xfId="0" applyFont="1" applyBorder="1" applyAlignment="1">
      <alignment vertical="center" wrapText="1"/>
    </xf>
    <xf numFmtId="0" fontId="39" fillId="0" borderId="22" xfId="0" applyFont="1" applyBorder="1" applyAlignment="1">
      <alignment vertical="center" wrapText="1"/>
    </xf>
    <xf numFmtId="0" fontId="39" fillId="0" borderId="40" xfId="0" applyFont="1" applyFill="1" applyBorder="1" applyAlignment="1">
      <alignment vertical="center" wrapText="1"/>
    </xf>
    <xf numFmtId="0" fontId="39" fillId="0" borderId="39" xfId="0" applyFont="1" applyFill="1" applyBorder="1" applyAlignment="1">
      <alignment vertical="center" wrapText="1"/>
    </xf>
    <xf numFmtId="0" fontId="39" fillId="0" borderId="41" xfId="0" applyFont="1" applyFill="1" applyBorder="1" applyAlignment="1">
      <alignment vertical="center" wrapText="1"/>
    </xf>
    <xf numFmtId="0" fontId="7" fillId="0" borderId="0" xfId="0" applyFont="1"/>
    <xf numFmtId="0" fontId="2" fillId="0" borderId="0" xfId="0" applyFont="1" applyFill="1"/>
    <xf numFmtId="0" fontId="7" fillId="0" borderId="0" xfId="0" applyFont="1" applyFill="1"/>
    <xf numFmtId="0" fontId="8" fillId="0" borderId="0" xfId="0" applyFont="1" applyFill="1" applyAlignment="1">
      <alignment horizontal="left" indent="15"/>
    </xf>
    <xf numFmtId="0" fontId="3" fillId="0" borderId="0" xfId="0" applyFont="1" applyFill="1" applyAlignment="1">
      <alignment wrapText="1"/>
    </xf>
    <xf numFmtId="0" fontId="0" fillId="0" borderId="0" xfId="0" applyFill="1" applyAlignment="1">
      <alignment horizontal="left" indent="1"/>
    </xf>
    <xf numFmtId="0" fontId="19" fillId="6" borderId="16" xfId="0" applyFont="1" applyFill="1" applyBorder="1" applyAlignment="1">
      <alignment horizontal="right" vertical="top" wrapText="1"/>
    </xf>
    <xf numFmtId="0" fontId="20" fillId="6" borderId="21" xfId="0" applyFont="1" applyFill="1" applyBorder="1" applyAlignment="1">
      <alignment horizontal="right" wrapText="1"/>
    </xf>
    <xf numFmtId="172" fontId="3" fillId="0" borderId="0" xfId="0" applyNumberFormat="1" applyFont="1" applyFill="1" applyBorder="1" applyAlignment="1">
      <alignment horizontal="left"/>
    </xf>
    <xf numFmtId="0" fontId="42" fillId="0" borderId="0" xfId="0" applyFont="1" applyBorder="1"/>
    <xf numFmtId="0" fontId="10" fillId="0" borderId="43" xfId="0" applyFont="1" applyFill="1" applyBorder="1" applyAlignment="1">
      <alignment vertical="center" wrapText="1"/>
    </xf>
    <xf numFmtId="0" fontId="10" fillId="0" borderId="44" xfId="0" applyFont="1" applyBorder="1" applyAlignment="1">
      <alignment horizontal="left"/>
    </xf>
    <xf numFmtId="0" fontId="10" fillId="0" borderId="45" xfId="0" applyFont="1" applyBorder="1" applyAlignment="1">
      <alignment horizontal="left" wrapText="1"/>
    </xf>
    <xf numFmtId="0" fontId="9" fillId="0" borderId="18" xfId="0" applyFont="1" applyBorder="1" applyAlignment="1">
      <alignment vertical="top" wrapText="1"/>
    </xf>
    <xf numFmtId="0" fontId="10" fillId="0" borderId="0" xfId="0" applyFont="1" applyFill="1" applyBorder="1" applyAlignment="1">
      <alignment vertical="center" wrapText="1"/>
    </xf>
    <xf numFmtId="0" fontId="10" fillId="0" borderId="44" xfId="0" applyFont="1" applyFill="1" applyBorder="1" applyAlignment="1">
      <alignment vertical="center" wrapText="1"/>
    </xf>
    <xf numFmtId="0" fontId="10" fillId="0" borderId="21" xfId="0" applyFont="1" applyFill="1" applyBorder="1" applyAlignment="1">
      <alignment vertical="center" wrapText="1"/>
    </xf>
    <xf numFmtId="0" fontId="19" fillId="7" borderId="28" xfId="0" applyFont="1" applyFill="1" applyBorder="1" applyAlignment="1">
      <alignment vertical="top"/>
    </xf>
    <xf numFmtId="0" fontId="19" fillId="6" borderId="20" xfId="0" applyFont="1" applyFill="1" applyBorder="1" applyAlignment="1">
      <alignment horizontal="center"/>
    </xf>
    <xf numFmtId="0" fontId="19" fillId="6" borderId="21" xfId="0" applyFont="1" applyFill="1" applyBorder="1" applyAlignment="1">
      <alignment horizontal="center"/>
    </xf>
    <xf numFmtId="0" fontId="19" fillId="6" borderId="22" xfId="0" applyFont="1" applyFill="1" applyBorder="1" applyAlignment="1">
      <alignment horizontal="center"/>
    </xf>
    <xf numFmtId="0" fontId="10" fillId="6" borderId="21" xfId="0" applyFont="1" applyFill="1" applyBorder="1"/>
    <xf numFmtId="0" fontId="19" fillId="6" borderId="29" xfId="0" applyFont="1" applyFill="1" applyBorder="1" applyAlignment="1">
      <alignment horizontal="centerContinuous"/>
    </xf>
    <xf numFmtId="0" fontId="19" fillId="6" borderId="27" xfId="0" applyFont="1" applyFill="1" applyBorder="1" applyAlignment="1">
      <alignment horizontal="left"/>
    </xf>
    <xf numFmtId="0" fontId="19" fillId="6" borderId="28" xfId="0" applyFont="1" applyFill="1" applyBorder="1" applyAlignment="1">
      <alignment horizontal="centerContinuous"/>
    </xf>
    <xf numFmtId="0" fontId="0" fillId="0" borderId="21" xfId="0" applyBorder="1"/>
    <xf numFmtId="0" fontId="10" fillId="0" borderId="46" xfId="0" applyFont="1" applyBorder="1" applyAlignment="1">
      <alignment vertical="top" wrapText="1"/>
    </xf>
    <xf numFmtId="0" fontId="19" fillId="7" borderId="27" xfId="0" applyFont="1" applyFill="1" applyBorder="1" applyAlignment="1">
      <alignment vertical="top" wrapText="1"/>
    </xf>
    <xf numFmtId="0" fontId="21" fillId="7" borderId="28" xfId="0" applyFont="1" applyFill="1" applyBorder="1" applyAlignment="1">
      <alignment vertical="center"/>
    </xf>
    <xf numFmtId="0" fontId="21" fillId="7" borderId="29" xfId="0" applyFont="1" applyFill="1" applyBorder="1" applyAlignment="1">
      <alignment vertical="center"/>
    </xf>
    <xf numFmtId="0" fontId="25" fillId="4" borderId="0" xfId="0" applyFont="1" applyFill="1" applyBorder="1" applyAlignment="1">
      <alignment horizontal="center" vertical="top"/>
    </xf>
    <xf numFmtId="0" fontId="19" fillId="7" borderId="28" xfId="0" applyFont="1" applyFill="1" applyBorder="1" applyAlignment="1">
      <alignment horizontal="center" vertical="top"/>
    </xf>
    <xf numFmtId="0" fontId="10" fillId="0" borderId="0" xfId="0" applyFont="1" applyFill="1" applyBorder="1" applyAlignment="1">
      <alignment horizontal="left" vertical="center" indent="2"/>
    </xf>
    <xf numFmtId="0" fontId="9" fillId="0" borderId="0" xfId="0" applyFont="1" applyAlignment="1">
      <alignment horizontal="left" indent="2"/>
    </xf>
    <xf numFmtId="0" fontId="0" fillId="0" borderId="0" xfId="0" applyAlignment="1">
      <alignment horizontal="left" indent="2"/>
    </xf>
    <xf numFmtId="0" fontId="44" fillId="0" borderId="0" xfId="0" applyFont="1"/>
    <xf numFmtId="43" fontId="22" fillId="0" borderId="0" xfId="5" applyFont="1"/>
    <xf numFmtId="170" fontId="25" fillId="4" borderId="3" xfId="1" applyNumberFormat="1" applyFont="1" applyFill="1" applyBorder="1" applyAlignment="1">
      <alignment horizontal="center" vertical="center"/>
    </xf>
    <xf numFmtId="9" fontId="45" fillId="0" borderId="35" xfId="0" applyNumberFormat="1" applyFont="1" applyFill="1" applyBorder="1" applyAlignment="1">
      <alignment horizontal="center" vertical="center" wrapText="1"/>
    </xf>
    <xf numFmtId="0" fontId="45" fillId="0" borderId="28" xfId="0" applyFont="1" applyFill="1" applyBorder="1" applyAlignment="1">
      <alignment horizontal="center" vertical="center" wrapText="1"/>
    </xf>
    <xf numFmtId="0" fontId="45" fillId="0" borderId="21" xfId="0" applyFont="1" applyFill="1" applyBorder="1" applyAlignment="1">
      <alignment horizontal="center" vertical="center" wrapText="1"/>
    </xf>
    <xf numFmtId="0" fontId="32" fillId="5" borderId="15" xfId="2" applyFont="1" applyFill="1" applyBorder="1"/>
    <xf numFmtId="0" fontId="32" fillId="5" borderId="16" xfId="2" applyFont="1" applyFill="1" applyBorder="1" applyAlignment="1" applyProtection="1">
      <alignment horizontal="center" vertical="top" wrapText="1"/>
      <protection locked="0"/>
    </xf>
    <xf numFmtId="0" fontId="32" fillId="5" borderId="16" xfId="2" applyFont="1" applyFill="1" applyBorder="1" applyAlignment="1" applyProtection="1">
      <alignment horizontal="center" vertical="top"/>
      <protection locked="0"/>
    </xf>
    <xf numFmtId="0" fontId="18" fillId="5" borderId="18" xfId="6" applyFont="1" applyFill="1" applyBorder="1" applyAlignment="1"/>
    <xf numFmtId="0" fontId="18" fillId="5" borderId="27" xfId="6" applyFont="1" applyFill="1" applyBorder="1" applyAlignment="1"/>
    <xf numFmtId="0" fontId="0" fillId="0" borderId="0" xfId="0" applyAlignment="1">
      <alignment horizontal="left" indent="3"/>
    </xf>
    <xf numFmtId="0" fontId="42" fillId="0" borderId="0" xfId="0" applyFont="1" applyAlignment="1">
      <alignment horizontal="left" indent="1"/>
    </xf>
    <xf numFmtId="0" fontId="0" fillId="0" borderId="6" xfId="0" applyFont="1" applyFill="1" applyBorder="1" applyAlignment="1">
      <alignment horizontal="left" indent="1"/>
    </xf>
    <xf numFmtId="9" fontId="3" fillId="0" borderId="0" xfId="0" applyNumberFormat="1" applyFont="1" applyAlignment="1">
      <alignment horizontal="center"/>
    </xf>
    <xf numFmtId="0" fontId="0" fillId="0" borderId="0" xfId="0" applyAlignment="1">
      <alignment horizontal="center"/>
    </xf>
    <xf numFmtId="0" fontId="40" fillId="0" borderId="0" xfId="0" applyFont="1" applyAlignment="1">
      <alignment horizontal="left" indent="3"/>
    </xf>
    <xf numFmtId="0" fontId="12" fillId="0" borderId="3" xfId="0" applyFont="1" applyFill="1" applyBorder="1" applyAlignment="1">
      <alignment horizontal="center" vertical="center" wrapText="1"/>
    </xf>
    <xf numFmtId="9" fontId="45" fillId="0" borderId="29" xfId="0" applyNumberFormat="1" applyFont="1" applyFill="1" applyBorder="1" applyAlignment="1">
      <alignment horizontal="center" vertical="center" wrapText="1"/>
    </xf>
    <xf numFmtId="9" fontId="45" fillId="0" borderId="28"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9" fontId="45" fillId="0" borderId="21" xfId="0" applyNumberFormat="1" applyFont="1" applyFill="1" applyBorder="1" applyAlignment="1">
      <alignment horizontal="center" vertical="center" wrapText="1"/>
    </xf>
    <xf numFmtId="9" fontId="45" fillId="0" borderId="22" xfId="0" applyNumberFormat="1" applyFont="1" applyFill="1" applyBorder="1" applyAlignment="1">
      <alignment horizontal="center" vertical="center" wrapText="1"/>
    </xf>
    <xf numFmtId="9" fontId="45" fillId="0" borderId="55" xfId="0" applyNumberFormat="1" applyFont="1" applyFill="1" applyBorder="1" applyAlignment="1">
      <alignment horizontal="center" vertical="center" wrapText="1"/>
    </xf>
    <xf numFmtId="9" fontId="45" fillId="0" borderId="56" xfId="0" applyNumberFormat="1" applyFont="1" applyFill="1" applyBorder="1" applyAlignment="1">
      <alignment horizontal="center" vertical="center" wrapText="1"/>
    </xf>
    <xf numFmtId="170" fontId="25" fillId="4" borderId="30" xfId="1" applyNumberFormat="1" applyFont="1" applyFill="1" applyBorder="1" applyAlignment="1">
      <alignment horizontal="center" vertical="center"/>
    </xf>
    <xf numFmtId="0" fontId="47" fillId="0" borderId="0" xfId="0" applyFont="1"/>
    <xf numFmtId="0" fontId="10" fillId="0" borderId="0" xfId="0" quotePrefix="1" applyFont="1"/>
    <xf numFmtId="165" fontId="16" fillId="0" borderId="30" xfId="0" applyNumberFormat="1" applyFont="1" applyFill="1" applyBorder="1"/>
    <xf numFmtId="0" fontId="9" fillId="0" borderId="20" xfId="0" applyFont="1" applyFill="1" applyBorder="1"/>
    <xf numFmtId="0" fontId="9" fillId="0" borderId="22" xfId="0" applyFont="1" applyFill="1" applyBorder="1"/>
    <xf numFmtId="0" fontId="14" fillId="0" borderId="18" xfId="0" applyFont="1" applyFill="1" applyBorder="1" applyAlignment="1">
      <alignment horizontal="left" indent="1"/>
    </xf>
    <xf numFmtId="0" fontId="14" fillId="0" borderId="20" xfId="0" applyFont="1" applyFill="1" applyBorder="1" applyAlignment="1">
      <alignment horizontal="left" indent="1"/>
    </xf>
    <xf numFmtId="0" fontId="3" fillId="0" borderId="0" xfId="0" applyFont="1" applyFill="1"/>
    <xf numFmtId="0" fontId="20" fillId="6" borderId="20" xfId="0" applyFont="1" applyFill="1" applyBorder="1" applyAlignment="1">
      <alignment wrapText="1"/>
    </xf>
    <xf numFmtId="0" fontId="15" fillId="6" borderId="21" xfId="0" applyFont="1" applyFill="1" applyBorder="1" applyAlignment="1">
      <alignment wrapText="1"/>
    </xf>
    <xf numFmtId="0" fontId="10" fillId="6" borderId="22" xfId="0" applyFont="1" applyFill="1" applyBorder="1"/>
    <xf numFmtId="167" fontId="14" fillId="0" borderId="0" xfId="5" applyNumberFormat="1" applyFont="1" applyFill="1" applyBorder="1" applyAlignment="1">
      <alignment horizontal="center" vertical="top" wrapText="1"/>
    </xf>
    <xf numFmtId="167" fontId="14" fillId="0" borderId="19" xfId="5" applyNumberFormat="1" applyFont="1" applyFill="1" applyBorder="1" applyAlignment="1">
      <alignment horizontal="center" vertical="top" wrapText="1"/>
    </xf>
    <xf numFmtId="167" fontId="14" fillId="0" borderId="19" xfId="5" applyNumberFormat="1" applyFont="1" applyFill="1" applyBorder="1"/>
    <xf numFmtId="0" fontId="19" fillId="6" borderId="17" xfId="0" applyFont="1" applyFill="1" applyBorder="1" applyAlignment="1">
      <alignment vertical="top"/>
    </xf>
    <xf numFmtId="0" fontId="15" fillId="6" borderId="57" xfId="0" applyFont="1" applyFill="1" applyBorder="1" applyAlignment="1">
      <alignment wrapText="1"/>
    </xf>
    <xf numFmtId="0" fontId="10" fillId="0" borderId="19" xfId="0" applyFont="1" applyFill="1" applyBorder="1"/>
    <xf numFmtId="0" fontId="10" fillId="0" borderId="22" xfId="0" applyFont="1" applyFill="1" applyBorder="1"/>
    <xf numFmtId="5" fontId="25" fillId="4" borderId="3" xfId="0" applyNumberFormat="1" applyFont="1" applyFill="1" applyBorder="1" applyAlignment="1">
      <alignment horizontal="center" wrapText="1"/>
    </xf>
    <xf numFmtId="43" fontId="10" fillId="0" borderId="19" xfId="5" applyNumberFormat="1" applyFont="1" applyFill="1" applyBorder="1" applyAlignment="1">
      <alignment vertical="top"/>
    </xf>
    <xf numFmtId="43" fontId="21" fillId="7" borderId="29" xfId="5" applyNumberFormat="1" applyFont="1" applyFill="1" applyBorder="1" applyAlignment="1">
      <alignment vertical="top"/>
    </xf>
    <xf numFmtId="43" fontId="14" fillId="0" borderId="19" xfId="5" applyNumberFormat="1" applyFont="1" applyFill="1" applyBorder="1" applyAlignment="1">
      <alignment vertical="top"/>
    </xf>
    <xf numFmtId="0" fontId="33" fillId="0" borderId="0" xfId="0" applyFont="1" applyFill="1" applyBorder="1" applyAlignment="1">
      <alignment horizontal="left" indent="2"/>
    </xf>
    <xf numFmtId="0" fontId="44" fillId="0" borderId="0" xfId="0" applyFont="1" applyFill="1"/>
    <xf numFmtId="43" fontId="46" fillId="0" borderId="0" xfId="5" applyFont="1" applyFill="1"/>
    <xf numFmtId="0" fontId="0" fillId="0" borderId="0" xfId="0" applyAlignment="1">
      <alignment horizontal="left"/>
    </xf>
    <xf numFmtId="0" fontId="0" fillId="0" borderId="0" xfId="0" quotePrefix="1" applyAlignment="1">
      <alignment horizontal="left"/>
    </xf>
    <xf numFmtId="0" fontId="1" fillId="0" borderId="0" xfId="0" applyFont="1" applyFill="1" applyAlignment="1">
      <alignment wrapText="1"/>
    </xf>
    <xf numFmtId="0" fontId="1" fillId="0" borderId="55" xfId="0" applyFont="1" applyBorder="1"/>
    <xf numFmtId="167" fontId="52" fillId="5" borderId="0" xfId="2" applyNumberFormat="1" applyFont="1" applyFill="1" applyBorder="1" applyAlignment="1" applyProtection="1">
      <alignment horizontal="right"/>
      <protection locked="0"/>
    </xf>
    <xf numFmtId="167" fontId="52" fillId="5" borderId="28" xfId="2" applyNumberFormat="1" applyFont="1" applyFill="1" applyBorder="1" applyAlignment="1" applyProtection="1">
      <alignment horizontal="right"/>
      <protection locked="0"/>
    </xf>
    <xf numFmtId="167" fontId="18" fillId="5" borderId="0" xfId="5" applyNumberFormat="1" applyFont="1" applyFill="1" applyBorder="1"/>
    <xf numFmtId="167" fontId="18" fillId="5" borderId="21" xfId="5" applyNumberFormat="1" applyFont="1" applyFill="1" applyBorder="1"/>
    <xf numFmtId="167" fontId="18" fillId="5" borderId="22" xfId="5" applyNumberFormat="1" applyFont="1" applyFill="1" applyBorder="1"/>
    <xf numFmtId="167" fontId="18" fillId="5" borderId="18" xfId="5" applyNumberFormat="1" applyFont="1" applyFill="1" applyBorder="1"/>
    <xf numFmtId="0" fontId="32" fillId="5" borderId="27" xfId="2" applyFont="1" applyFill="1" applyBorder="1" applyAlignment="1" applyProtection="1">
      <alignment horizontal="center" vertical="top"/>
      <protection locked="0"/>
    </xf>
    <xf numFmtId="0" fontId="32" fillId="5" borderId="28" xfId="2" applyFont="1" applyFill="1" applyBorder="1" applyAlignment="1" applyProtection="1">
      <alignment horizontal="center" vertical="top"/>
      <protection locked="0"/>
    </xf>
    <xf numFmtId="0" fontId="32" fillId="5" borderId="29" xfId="2" applyFont="1" applyFill="1" applyBorder="1" applyAlignment="1" applyProtection="1">
      <alignment horizontal="center" vertical="top"/>
      <protection locked="0"/>
    </xf>
    <xf numFmtId="173" fontId="0" fillId="0" borderId="0" xfId="0" applyNumberFormat="1" applyFont="1" applyFill="1" applyBorder="1" applyAlignment="1">
      <alignment horizontal="right" indent="1"/>
    </xf>
    <xf numFmtId="0" fontId="9" fillId="5" borderId="27" xfId="0" applyFont="1" applyFill="1" applyBorder="1" applyAlignment="1">
      <alignment horizontal="left" vertical="center" indent="1"/>
    </xf>
    <xf numFmtId="0" fontId="9" fillId="5" borderId="28" xfId="0" applyFont="1" applyFill="1" applyBorder="1" applyAlignment="1">
      <alignment horizontal="left" vertical="center" indent="1"/>
    </xf>
    <xf numFmtId="0" fontId="10" fillId="5" borderId="28" xfId="0" applyFont="1" applyFill="1" applyBorder="1" applyAlignment="1">
      <alignment horizontal="left" vertical="center" indent="1"/>
    </xf>
    <xf numFmtId="43" fontId="9" fillId="5" borderId="29" xfId="5" applyNumberFormat="1" applyFont="1" applyFill="1" applyBorder="1" applyAlignment="1">
      <alignment horizontal="left" vertical="center" indent="1"/>
    </xf>
    <xf numFmtId="0" fontId="9" fillId="5" borderId="28" xfId="0" applyFont="1" applyFill="1" applyBorder="1" applyAlignment="1">
      <alignment horizontal="right" vertical="center" indent="1"/>
    </xf>
    <xf numFmtId="43" fontId="22" fillId="0" borderId="0" xfId="0" applyNumberFormat="1" applyFont="1" applyBorder="1"/>
    <xf numFmtId="0" fontId="53" fillId="0" borderId="0" xfId="0" applyFont="1" applyBorder="1"/>
    <xf numFmtId="164" fontId="13" fillId="4" borderId="19" xfId="1" applyNumberFormat="1" applyFont="1" applyFill="1" applyBorder="1" applyAlignment="1">
      <alignment horizontal="center" vertical="top" wrapText="1"/>
    </xf>
    <xf numFmtId="164" fontId="13" fillId="4" borderId="24" xfId="1" applyNumberFormat="1" applyFont="1" applyFill="1" applyBorder="1" applyAlignment="1">
      <alignment horizontal="center" vertical="top" wrapText="1"/>
    </xf>
    <xf numFmtId="0" fontId="53" fillId="0" borderId="0" xfId="0" applyFont="1" applyAlignment="1">
      <alignment horizontal="right"/>
    </xf>
    <xf numFmtId="167" fontId="22" fillId="0" borderId="0" xfId="5" applyNumberFormat="1" applyFont="1" applyFill="1" applyBorder="1" applyAlignment="1">
      <alignment horizontal="center" vertical="top" wrapText="1"/>
    </xf>
    <xf numFmtId="43" fontId="22" fillId="0" borderId="0" xfId="5" applyFont="1" applyBorder="1"/>
    <xf numFmtId="174" fontId="0" fillId="0" borderId="0" xfId="0" applyNumberFormat="1"/>
    <xf numFmtId="0" fontId="39" fillId="0" borderId="0" xfId="0" applyFont="1" applyAlignment="1">
      <alignment horizontal="left" indent="1"/>
    </xf>
    <xf numFmtId="0" fontId="54" fillId="0" borderId="0" xfId="0" applyFont="1" applyAlignment="1">
      <alignment horizontal="left" indent="1"/>
    </xf>
    <xf numFmtId="0" fontId="54" fillId="0" borderId="0" xfId="0" applyFont="1"/>
    <xf numFmtId="0" fontId="55" fillId="0" borderId="0" xfId="0" applyFont="1"/>
    <xf numFmtId="0" fontId="56" fillId="0" borderId="0" xfId="0" applyFont="1" applyAlignment="1">
      <alignment horizontal="left" indent="2"/>
    </xf>
    <xf numFmtId="0" fontId="13" fillId="4" borderId="38" xfId="0" applyFont="1" applyFill="1" applyBorder="1" applyAlignment="1">
      <alignment horizontal="center"/>
    </xf>
    <xf numFmtId="173" fontId="13" fillId="4" borderId="38" xfId="0" applyNumberFormat="1" applyFont="1" applyFill="1" applyBorder="1" applyAlignment="1">
      <alignment horizontal="centerContinuous"/>
    </xf>
    <xf numFmtId="175" fontId="14" fillId="0" borderId="1" xfId="5" applyNumberFormat="1" applyFont="1" applyFill="1" applyBorder="1" applyAlignment="1">
      <alignment vertical="top" wrapText="1"/>
    </xf>
    <xf numFmtId="175" fontId="14" fillId="0" borderId="24" xfId="5" applyNumberFormat="1" applyFont="1" applyFill="1" applyBorder="1" applyAlignment="1">
      <alignment vertical="top" wrapText="1"/>
    </xf>
    <xf numFmtId="175" fontId="14" fillId="0" borderId="24" xfId="5" applyNumberFormat="1" applyFont="1" applyFill="1" applyBorder="1" applyAlignment="1"/>
    <xf numFmtId="164" fontId="16" fillId="0" borderId="3" xfId="1" applyNumberFormat="1" applyFont="1" applyFill="1" applyBorder="1"/>
    <xf numFmtId="175" fontId="13" fillId="4" borderId="0" xfId="0" applyNumberFormat="1" applyFont="1" applyFill="1" applyBorder="1" applyAlignment="1">
      <alignment horizontal="right" vertical="top" wrapText="1"/>
    </xf>
    <xf numFmtId="175" fontId="13" fillId="4" borderId="19" xfId="0" applyNumberFormat="1" applyFont="1" applyFill="1" applyBorder="1" applyAlignment="1">
      <alignment horizontal="right" vertical="top" wrapText="1"/>
    </xf>
    <xf numFmtId="175" fontId="13" fillId="0" borderId="19" xfId="0" applyNumberFormat="1" applyFont="1" applyFill="1" applyBorder="1" applyAlignment="1">
      <alignment horizontal="right" vertical="top" wrapText="1"/>
    </xf>
    <xf numFmtId="175" fontId="16" fillId="0" borderId="27" xfId="1" applyNumberFormat="1" applyFont="1" applyFill="1" applyBorder="1" applyAlignment="1">
      <alignment horizontal="right"/>
    </xf>
    <xf numFmtId="175" fontId="16" fillId="0" borderId="28" xfId="1" applyNumberFormat="1" applyFont="1" applyFill="1" applyBorder="1" applyAlignment="1">
      <alignment horizontal="right"/>
    </xf>
    <xf numFmtId="175" fontId="16" fillId="0" borderId="29" xfId="1" applyNumberFormat="1" applyFont="1" applyFill="1" applyBorder="1" applyAlignment="1">
      <alignment horizontal="right"/>
    </xf>
    <xf numFmtId="175" fontId="16" fillId="0" borderId="21" xfId="1" applyNumberFormat="1" applyFont="1" applyFill="1" applyBorder="1"/>
    <xf numFmtId="175" fontId="16" fillId="0" borderId="3" xfId="1" applyNumberFormat="1" applyFont="1" applyFill="1" applyBorder="1"/>
    <xf numFmtId="164" fontId="16" fillId="0" borderId="30" xfId="1" applyNumberFormat="1" applyFont="1" applyFill="1" applyBorder="1"/>
    <xf numFmtId="164" fontId="25" fillId="4" borderId="3" xfId="1" applyNumberFormat="1" applyFont="1" applyFill="1" applyBorder="1" applyAlignment="1">
      <alignment horizontal="right"/>
    </xf>
    <xf numFmtId="3" fontId="25" fillId="4" borderId="3" xfId="0" applyNumberFormat="1" applyFont="1" applyFill="1" applyBorder="1" applyAlignment="1">
      <alignment horizontal="right" vertical="top"/>
    </xf>
    <xf numFmtId="3" fontId="25" fillId="4" borderId="3" xfId="0" applyNumberFormat="1" applyFont="1" applyFill="1" applyBorder="1"/>
    <xf numFmtId="167" fontId="17" fillId="5" borderId="0" xfId="5" applyNumberFormat="1" applyFont="1" applyFill="1" applyBorder="1" applyAlignment="1" applyProtection="1">
      <alignment horizontal="right"/>
      <protection locked="0"/>
    </xf>
    <xf numFmtId="167" fontId="18" fillId="5" borderId="0" xfId="5" applyNumberFormat="1" applyFont="1" applyFill="1" applyBorder="1" applyAlignment="1" applyProtection="1">
      <alignment horizontal="right"/>
      <protection locked="0"/>
    </xf>
    <xf numFmtId="167" fontId="33" fillId="5" borderId="0" xfId="2" applyNumberFormat="1" applyFont="1" applyFill="1" applyBorder="1" applyAlignment="1" applyProtection="1">
      <alignment horizontal="right"/>
      <protection locked="0"/>
    </xf>
    <xf numFmtId="167" fontId="51" fillId="5" borderId="0" xfId="5" applyNumberFormat="1" applyFont="1" applyFill="1" applyBorder="1" applyAlignment="1"/>
    <xf numFmtId="167" fontId="18" fillId="5" borderId="28" xfId="5" applyNumberFormat="1" applyFont="1" applyFill="1" applyBorder="1" applyAlignment="1" applyProtection="1">
      <alignment horizontal="right"/>
      <protection locked="0"/>
    </xf>
    <xf numFmtId="0" fontId="0" fillId="0" borderId="6" xfId="0" applyFont="1" applyBorder="1" applyAlignment="1">
      <alignment horizontal="center" wrapText="1"/>
    </xf>
    <xf numFmtId="0" fontId="0" fillId="0" borderId="3" xfId="0" applyFont="1" applyBorder="1" applyAlignment="1">
      <alignment horizontal="center" wrapText="1"/>
    </xf>
    <xf numFmtId="0" fontId="3" fillId="0" borderId="0" xfId="0" applyFont="1" applyFill="1" applyBorder="1" applyAlignment="1">
      <alignment horizontal="center"/>
    </xf>
    <xf numFmtId="0" fontId="1" fillId="0" borderId="13" xfId="0" applyFont="1" applyFill="1" applyBorder="1" applyAlignment="1">
      <alignment horizontal="center"/>
    </xf>
    <xf numFmtId="0" fontId="9" fillId="0" borderId="27" xfId="0" applyFont="1" applyFill="1" applyBorder="1"/>
    <xf numFmtId="0" fontId="9" fillId="0" borderId="29" xfId="0" applyFont="1" applyFill="1" applyBorder="1"/>
    <xf numFmtId="164" fontId="16" fillId="0" borderId="27" xfId="1" applyNumberFormat="1" applyFont="1" applyFill="1" applyBorder="1"/>
    <xf numFmtId="164" fontId="16" fillId="0" borderId="28" xfId="1" applyNumberFormat="1" applyFont="1" applyFill="1" applyBorder="1"/>
    <xf numFmtId="0" fontId="40" fillId="0" borderId="0" xfId="0" applyFont="1" applyAlignment="1">
      <alignment horizontal="left" indent="1"/>
    </xf>
    <xf numFmtId="0" fontId="26" fillId="0" borderId="15" xfId="0" applyFont="1" applyBorder="1" applyAlignment="1">
      <alignment horizontal="left" indent="1"/>
    </xf>
    <xf numFmtId="164" fontId="26" fillId="0" borderId="17" xfId="0" applyNumberFormat="1" applyFont="1" applyBorder="1"/>
    <xf numFmtId="0" fontId="26" fillId="0" borderId="20" xfId="0" applyFont="1" applyBorder="1" applyAlignment="1">
      <alignment horizontal="left" indent="1"/>
    </xf>
    <xf numFmtId="164" fontId="26" fillId="0" borderId="22" xfId="0" applyNumberFormat="1" applyFont="1" applyBorder="1"/>
    <xf numFmtId="0" fontId="59" fillId="6" borderId="0" xfId="0" applyFont="1" applyFill="1"/>
    <xf numFmtId="0" fontId="59" fillId="6" borderId="0" xfId="0" applyFont="1" applyFill="1" applyAlignment="1">
      <alignment horizontal="center"/>
    </xf>
    <xf numFmtId="0" fontId="26" fillId="0" borderId="18" xfId="0" applyFont="1" applyBorder="1" applyAlignment="1">
      <alignment horizontal="left" indent="1"/>
    </xf>
    <xf numFmtId="164" fontId="26" fillId="0" borderId="19" xfId="0" applyNumberFormat="1" applyFont="1" applyBorder="1"/>
    <xf numFmtId="164" fontId="13" fillId="0" borderId="24" xfId="1" applyNumberFormat="1" applyFont="1" applyFill="1" applyBorder="1" applyAlignment="1">
      <alignment horizontal="center" vertical="top" wrapText="1"/>
    </xf>
    <xf numFmtId="164" fontId="13" fillId="0" borderId="19" xfId="1" applyNumberFormat="1" applyFont="1" applyFill="1" applyBorder="1" applyAlignment="1">
      <alignment horizontal="center" vertical="top" wrapText="1"/>
    </xf>
    <xf numFmtId="0" fontId="57" fillId="0" borderId="0" xfId="0" applyFont="1"/>
    <xf numFmtId="43" fontId="60" fillId="0" borderId="0" xfId="5" applyFont="1"/>
    <xf numFmtId="5" fontId="26" fillId="5" borderId="3" xfId="0" applyNumberFormat="1" applyFont="1" applyFill="1" applyBorder="1"/>
    <xf numFmtId="0" fontId="61" fillId="0" borderId="0" xfId="0" applyFont="1" applyAlignment="1">
      <alignment horizontal="center" vertical="center" readingOrder="1"/>
    </xf>
    <xf numFmtId="0" fontId="37" fillId="0" borderId="0" xfId="0" applyFont="1" applyFill="1" applyBorder="1" applyAlignment="1">
      <alignment horizontal="left" indent="2"/>
    </xf>
    <xf numFmtId="0" fontId="0" fillId="0" borderId="0" xfId="0" applyAlignment="1">
      <alignment vertical="center"/>
    </xf>
    <xf numFmtId="0" fontId="26" fillId="0" borderId="0" xfId="0" quotePrefix="1" applyFont="1" applyAlignment="1">
      <alignment horizontal="left" indent="1"/>
    </xf>
    <xf numFmtId="0" fontId="62" fillId="0" borderId="0" xfId="0" applyFont="1"/>
    <xf numFmtId="0" fontId="12" fillId="5" borderId="15" xfId="0" applyFont="1" applyFill="1" applyBorder="1" applyAlignment="1">
      <alignment horizontal="left"/>
    </xf>
    <xf numFmtId="0" fontId="12" fillId="5" borderId="17" xfId="0" applyFont="1" applyFill="1" applyBorder="1" applyAlignment="1">
      <alignment horizontal="center" wrapText="1"/>
    </xf>
    <xf numFmtId="2" fontId="14" fillId="0" borderId="12" xfId="0" applyNumberFormat="1" applyFont="1" applyFill="1" applyBorder="1"/>
    <xf numFmtId="0" fontId="9" fillId="0" borderId="27" xfId="0" applyFont="1" applyBorder="1" applyAlignment="1">
      <alignment vertical="top" wrapText="1"/>
    </xf>
    <xf numFmtId="0" fontId="10" fillId="0" borderId="28" xfId="0" applyFont="1" applyBorder="1" applyAlignment="1">
      <alignment vertical="top" wrapText="1"/>
    </xf>
    <xf numFmtId="0" fontId="25" fillId="4" borderId="28" xfId="0" applyFont="1" applyFill="1" applyBorder="1" applyAlignment="1">
      <alignment horizontal="center" vertical="top"/>
    </xf>
    <xf numFmtId="43" fontId="10" fillId="0" borderId="29" xfId="5" applyNumberFormat="1" applyFont="1" applyFill="1" applyBorder="1" applyAlignment="1">
      <alignment vertical="top"/>
    </xf>
    <xf numFmtId="0" fontId="9" fillId="0" borderId="62" xfId="0" applyFont="1" applyBorder="1" applyAlignment="1">
      <alignment vertical="top" wrapText="1"/>
    </xf>
    <xf numFmtId="0" fontId="25" fillId="4" borderId="46" xfId="0" applyFont="1" applyFill="1" applyBorder="1" applyAlignment="1">
      <alignment horizontal="center" vertical="top"/>
    </xf>
    <xf numFmtId="43" fontId="14" fillId="0" borderId="63" xfId="5" applyNumberFormat="1" applyFont="1" applyFill="1" applyBorder="1" applyAlignment="1">
      <alignment vertical="top"/>
    </xf>
    <xf numFmtId="43" fontId="14" fillId="0" borderId="29" xfId="5" applyNumberFormat="1" applyFont="1" applyFill="1" applyBorder="1" applyAlignment="1">
      <alignment vertical="top"/>
    </xf>
    <xf numFmtId="0" fontId="10" fillId="0" borderId="64" xfId="0" applyFont="1" applyBorder="1" applyAlignment="1">
      <alignment vertical="top" wrapText="1"/>
    </xf>
    <xf numFmtId="0" fontId="19" fillId="6" borderId="0" xfId="0" applyFont="1" applyFill="1" applyAlignment="1">
      <alignment horizontal="center"/>
    </xf>
    <xf numFmtId="0" fontId="53" fillId="0" borderId="0" xfId="0" applyFont="1" applyAlignment="1">
      <alignment horizontal="left"/>
    </xf>
    <xf numFmtId="171" fontId="13" fillId="4" borderId="0" xfId="0" applyNumberFormat="1" applyFont="1" applyFill="1" applyBorder="1" applyAlignment="1">
      <alignment horizontal="right" vertical="top" wrapText="1"/>
    </xf>
    <xf numFmtId="171" fontId="13" fillId="4" borderId="19" xfId="0" applyNumberFormat="1" applyFont="1" applyFill="1" applyBorder="1" applyAlignment="1">
      <alignment horizontal="right" vertical="top" wrapText="1"/>
    </xf>
    <xf numFmtId="171" fontId="13" fillId="0" borderId="19" xfId="0" applyNumberFormat="1" applyFont="1" applyFill="1" applyBorder="1" applyAlignment="1">
      <alignment horizontal="right" vertical="top" wrapText="1"/>
    </xf>
    <xf numFmtId="175" fontId="9" fillId="0" borderId="28" xfId="0" applyNumberFormat="1" applyFont="1" applyFill="1" applyBorder="1" applyAlignment="1">
      <alignment horizontal="right" vertical="top" wrapText="1"/>
    </xf>
    <xf numFmtId="175" fontId="9" fillId="0" borderId="29" xfId="0" applyNumberFormat="1" applyFont="1" applyFill="1" applyBorder="1" applyAlignment="1">
      <alignment horizontal="right" vertical="top" wrapText="1"/>
    </xf>
    <xf numFmtId="0" fontId="13" fillId="0" borderId="18" xfId="0" applyFont="1" applyFill="1" applyBorder="1" applyAlignment="1">
      <alignment horizontal="left" vertical="center"/>
    </xf>
    <xf numFmtId="175" fontId="13" fillId="4" borderId="16" xfId="0" applyNumberFormat="1" applyFont="1" applyFill="1" applyBorder="1" applyAlignment="1">
      <alignment horizontal="right" vertical="top" wrapText="1"/>
    </xf>
    <xf numFmtId="175" fontId="13" fillId="0" borderId="17" xfId="0" applyNumberFormat="1" applyFont="1" applyFill="1" applyBorder="1" applyAlignment="1">
      <alignment horizontal="right" vertical="top" wrapText="1"/>
    </xf>
    <xf numFmtId="175" fontId="13" fillId="4" borderId="17" xfId="0" applyNumberFormat="1" applyFont="1" applyFill="1" applyBorder="1" applyAlignment="1">
      <alignment horizontal="right" vertical="top" wrapText="1"/>
    </xf>
    <xf numFmtId="0" fontId="13" fillId="4" borderId="3" xfId="0" applyFont="1" applyFill="1" applyBorder="1" applyAlignment="1">
      <alignment horizontal="left" vertical="center"/>
    </xf>
    <xf numFmtId="175" fontId="16" fillId="0" borderId="27" xfId="1" applyNumberFormat="1" applyFont="1" applyFill="1" applyBorder="1"/>
    <xf numFmtId="0" fontId="19" fillId="6" borderId="16" xfId="0" applyFont="1" applyFill="1" applyBorder="1" applyAlignment="1">
      <alignment horizontal="center" vertical="top" wrapText="1"/>
    </xf>
    <xf numFmtId="171" fontId="14" fillId="0" borderId="27" xfId="1" applyNumberFormat="1" applyFont="1" applyFill="1" applyBorder="1" applyAlignment="1">
      <alignment horizontal="right"/>
    </xf>
    <xf numFmtId="171" fontId="14" fillId="0" borderId="28" xfId="1" applyNumberFormat="1" applyFont="1" applyFill="1" applyBorder="1" applyAlignment="1">
      <alignment horizontal="right"/>
    </xf>
    <xf numFmtId="171" fontId="14" fillId="0" borderId="29" xfId="1" applyNumberFormat="1" applyFont="1" applyFill="1" applyBorder="1" applyAlignment="1">
      <alignment horizontal="right"/>
    </xf>
    <xf numFmtId="0" fontId="26" fillId="0" borderId="0" xfId="0" quotePrefix="1" applyFont="1"/>
    <xf numFmtId="168" fontId="16" fillId="0" borderId="28" xfId="1" applyNumberFormat="1" applyFont="1" applyFill="1" applyBorder="1" applyAlignment="1"/>
    <xf numFmtId="168" fontId="16" fillId="0" borderId="29" xfId="1" applyNumberFormat="1" applyFont="1" applyFill="1" applyBorder="1" applyAlignment="1"/>
    <xf numFmtId="168" fontId="13" fillId="4" borderId="1" xfId="0" applyNumberFormat="1" applyFont="1" applyFill="1" applyBorder="1" applyAlignment="1">
      <alignment vertical="top" wrapText="1"/>
    </xf>
    <xf numFmtId="168" fontId="13" fillId="4" borderId="24" xfId="0" applyNumberFormat="1" applyFont="1" applyFill="1" applyBorder="1" applyAlignment="1">
      <alignment vertical="top" wrapText="1"/>
    </xf>
    <xf numFmtId="168" fontId="13" fillId="4" borderId="0" xfId="0" applyNumberFormat="1" applyFont="1" applyFill="1" applyBorder="1" applyAlignment="1">
      <alignment vertical="top" wrapText="1"/>
    </xf>
    <xf numFmtId="168" fontId="13" fillId="4" borderId="19" xfId="0" applyNumberFormat="1" applyFont="1" applyFill="1" applyBorder="1" applyAlignment="1">
      <alignment vertical="top" wrapText="1"/>
    </xf>
    <xf numFmtId="165" fontId="13" fillId="4" borderId="1" xfId="0" applyNumberFormat="1" applyFont="1" applyFill="1" applyBorder="1" applyAlignment="1">
      <alignment vertical="top" wrapText="1"/>
    </xf>
    <xf numFmtId="165" fontId="13" fillId="4" borderId="24" xfId="0" applyNumberFormat="1" applyFont="1" applyFill="1" applyBorder="1" applyAlignment="1">
      <alignment vertical="top" wrapText="1"/>
    </xf>
    <xf numFmtId="165" fontId="13" fillId="4" borderId="0" xfId="0" applyNumberFormat="1" applyFont="1" applyFill="1" applyBorder="1" applyAlignment="1">
      <alignment vertical="top" wrapText="1"/>
    </xf>
    <xf numFmtId="165" fontId="13" fillId="4" borderId="19" xfId="0" applyNumberFormat="1" applyFont="1" applyFill="1" applyBorder="1" applyAlignment="1">
      <alignment vertical="top" wrapText="1"/>
    </xf>
    <xf numFmtId="164" fontId="16" fillId="0" borderId="29" xfId="1" applyNumberFormat="1" applyFont="1" applyFill="1" applyBorder="1"/>
    <xf numFmtId="0" fontId="12" fillId="0" borderId="28" xfId="0" applyFont="1" applyFill="1" applyBorder="1"/>
    <xf numFmtId="0" fontId="26" fillId="0" borderId="27" xfId="0" applyFont="1" applyFill="1" applyBorder="1" applyAlignment="1">
      <alignment horizontal="left" indent="1"/>
    </xf>
    <xf numFmtId="175" fontId="13" fillId="4" borderId="15" xfId="0" applyNumberFormat="1" applyFont="1" applyFill="1" applyBorder="1" applyAlignment="1">
      <alignment horizontal="right" vertical="top" wrapText="1"/>
    </xf>
    <xf numFmtId="164" fontId="33" fillId="0" borderId="19" xfId="1" applyNumberFormat="1" applyFont="1" applyFill="1" applyBorder="1" applyAlignment="1">
      <alignment horizontal="right" vertical="top"/>
    </xf>
    <xf numFmtId="164" fontId="33" fillId="0" borderId="19" xfId="1" applyNumberFormat="1" applyFont="1" applyFill="1" applyBorder="1" applyAlignment="1">
      <alignment horizontal="right" vertical="top" wrapText="1"/>
    </xf>
    <xf numFmtId="0" fontId="10" fillId="0" borderId="0" xfId="0" applyFont="1" applyAlignment="1">
      <alignment horizontal="right"/>
    </xf>
    <xf numFmtId="164" fontId="33" fillId="0" borderId="17" xfId="1" applyNumberFormat="1" applyFont="1" applyFill="1" applyBorder="1" applyAlignment="1">
      <alignment horizontal="right" vertical="top" wrapText="1"/>
    </xf>
    <xf numFmtId="0" fontId="63" fillId="6" borderId="0" xfId="0" applyFont="1" applyFill="1" applyAlignment="1">
      <alignment horizontal="right"/>
    </xf>
    <xf numFmtId="0" fontId="21" fillId="6" borderId="28" xfId="0" applyFont="1" applyFill="1" applyBorder="1"/>
    <xf numFmtId="0" fontId="66" fillId="0" borderId="0" xfId="0" applyFont="1"/>
    <xf numFmtId="0" fontId="25" fillId="0" borderId="0" xfId="0" applyFont="1"/>
    <xf numFmtId="0" fontId="0" fillId="6" borderId="0" xfId="0" applyFill="1"/>
    <xf numFmtId="5" fontId="25" fillId="4" borderId="3" xfId="1" applyNumberFormat="1" applyFont="1" applyFill="1" applyBorder="1" applyAlignment="1">
      <alignment horizontal="right" vertical="center"/>
    </xf>
    <xf numFmtId="5" fontId="1" fillId="0" borderId="55" xfId="0" applyNumberFormat="1" applyFont="1" applyFill="1" applyBorder="1" applyAlignment="1">
      <alignment horizontal="right"/>
    </xf>
    <xf numFmtId="0" fontId="10" fillId="0" borderId="0" xfId="0" applyFont="1" applyFill="1" applyBorder="1" applyAlignment="1">
      <alignment horizontal="right"/>
    </xf>
    <xf numFmtId="5" fontId="38" fillId="0" borderId="0" xfId="0" applyNumberFormat="1" applyFont="1" applyFill="1" applyBorder="1" applyAlignment="1">
      <alignment horizontal="center" wrapText="1"/>
    </xf>
    <xf numFmtId="0" fontId="0" fillId="0" borderId="0" xfId="0" applyBorder="1" applyAlignment="1">
      <alignment horizontal="left" indent="1"/>
    </xf>
    <xf numFmtId="37" fontId="24" fillId="0" borderId="7" xfId="0" applyNumberFormat="1" applyFont="1" applyFill="1" applyBorder="1"/>
    <xf numFmtId="37" fontId="24" fillId="0" borderId="8" xfId="0" applyNumberFormat="1" applyFont="1" applyFill="1" applyBorder="1"/>
    <xf numFmtId="37" fontId="38" fillId="0" borderId="7" xfId="0" applyNumberFormat="1" applyFont="1" applyFill="1" applyBorder="1"/>
    <xf numFmtId="37" fontId="38" fillId="0" borderId="8" xfId="0" applyNumberFormat="1" applyFont="1" applyFill="1" applyBorder="1"/>
    <xf numFmtId="5" fontId="9" fillId="0" borderId="3" xfId="1" applyNumberFormat="1" applyFont="1" applyFill="1" applyBorder="1" applyAlignment="1">
      <alignment horizontal="right" vertical="center"/>
    </xf>
    <xf numFmtId="169" fontId="10" fillId="5" borderId="20" xfId="0" applyNumberFormat="1" applyFont="1" applyFill="1" applyBorder="1" applyAlignment="1">
      <alignment horizontal="center" vertical="center" wrapText="1"/>
    </xf>
    <xf numFmtId="169" fontId="10" fillId="5" borderId="22" xfId="0" applyNumberFormat="1" applyFont="1" applyFill="1" applyBorder="1" applyAlignment="1">
      <alignment horizontal="center" vertical="center" wrapText="1"/>
    </xf>
    <xf numFmtId="169" fontId="9" fillId="5" borderId="27" xfId="0" applyNumberFormat="1" applyFont="1" applyFill="1" applyBorder="1" applyAlignment="1">
      <alignment horizontal="center" vertical="center" wrapText="1"/>
    </xf>
    <xf numFmtId="169" fontId="9" fillId="5" borderId="29" xfId="0" applyNumberFormat="1" applyFont="1" applyFill="1" applyBorder="1" applyAlignment="1">
      <alignment horizontal="center" vertical="center" wrapText="1"/>
    </xf>
    <xf numFmtId="5" fontId="9" fillId="0" borderId="30" xfId="1" applyNumberFormat="1" applyFont="1" applyFill="1" applyBorder="1" applyAlignment="1">
      <alignment horizontal="right" vertical="center"/>
    </xf>
    <xf numFmtId="0" fontId="28" fillId="6" borderId="15" xfId="0" applyFont="1" applyFill="1" applyBorder="1" applyAlignment="1">
      <alignment horizontal="left"/>
    </xf>
    <xf numFmtId="0" fontId="28" fillId="6" borderId="16" xfId="0" applyFont="1" applyFill="1" applyBorder="1" applyAlignment="1">
      <alignment horizontal="center"/>
    </xf>
    <xf numFmtId="0" fontId="28" fillId="6" borderId="17" xfId="0" applyFont="1" applyFill="1" applyBorder="1" applyAlignment="1">
      <alignment horizontal="center"/>
    </xf>
    <xf numFmtId="0" fontId="28" fillId="6" borderId="20" xfId="0" applyFont="1" applyFill="1" applyBorder="1" applyAlignment="1">
      <alignment horizontal="center" wrapText="1"/>
    </xf>
    <xf numFmtId="0" fontId="28" fillId="6" borderId="21" xfId="0" applyFont="1" applyFill="1" applyBorder="1" applyAlignment="1">
      <alignment horizontal="center" wrapText="1"/>
    </xf>
    <xf numFmtId="0" fontId="26" fillId="0" borderId="30" xfId="0" applyFont="1" applyFill="1" applyBorder="1" applyAlignment="1">
      <alignment horizontal="center" vertical="center" wrapText="1"/>
    </xf>
    <xf numFmtId="0" fontId="21" fillId="6" borderId="0" xfId="0" applyFont="1" applyFill="1"/>
    <xf numFmtId="0" fontId="21" fillId="6" borderId="0" xfId="0" applyFont="1" applyFill="1" applyAlignment="1">
      <alignment horizontal="right"/>
    </xf>
    <xf numFmtId="0" fontId="1" fillId="0" borderId="3" xfId="0" applyFont="1" applyFill="1" applyBorder="1" applyAlignment="1">
      <alignment horizontal="left" indent="1"/>
    </xf>
    <xf numFmtId="37" fontId="9" fillId="0" borderId="14" xfId="1" applyNumberFormat="1" applyFont="1" applyFill="1" applyBorder="1"/>
    <xf numFmtId="37" fontId="9" fillId="0" borderId="8" xfId="0" applyNumberFormat="1" applyFont="1" applyFill="1" applyBorder="1"/>
    <xf numFmtId="176" fontId="22" fillId="0" borderId="0" xfId="5" applyNumberFormat="1" applyFont="1" applyAlignment="1"/>
    <xf numFmtId="5" fontId="0" fillId="0" borderId="0" xfId="0" applyNumberFormat="1"/>
    <xf numFmtId="0" fontId="0" fillId="0" borderId="0" xfId="0" applyFont="1" applyFill="1" applyBorder="1" applyAlignment="1">
      <alignment horizontal="left" indent="1"/>
    </xf>
    <xf numFmtId="0" fontId="0" fillId="0" borderId="0" xfId="0" applyFont="1" applyBorder="1" applyAlignment="1">
      <alignment horizontal="center" wrapText="1"/>
    </xf>
    <xf numFmtId="37" fontId="24" fillId="0" borderId="66" xfId="0" applyNumberFormat="1" applyFont="1" applyFill="1" applyBorder="1"/>
    <xf numFmtId="37" fontId="24" fillId="0" borderId="67" xfId="0" applyNumberFormat="1" applyFont="1" applyFill="1" applyBorder="1"/>
    <xf numFmtId="0" fontId="0" fillId="0" borderId="3" xfId="0" applyFont="1" applyFill="1" applyBorder="1" applyAlignment="1">
      <alignment horizontal="left" indent="2"/>
    </xf>
    <xf numFmtId="0" fontId="1" fillId="0" borderId="20" xfId="0" applyFont="1" applyFill="1" applyBorder="1" applyAlignment="1">
      <alignment horizontal="left" indent="1"/>
    </xf>
    <xf numFmtId="0" fontId="0" fillId="0" borderId="21" xfId="0" applyFont="1" applyBorder="1" applyAlignment="1">
      <alignment horizontal="center" wrapText="1"/>
    </xf>
    <xf numFmtId="37" fontId="24" fillId="0" borderId="68" xfId="0" applyNumberFormat="1" applyFont="1" applyFill="1" applyBorder="1"/>
    <xf numFmtId="0" fontId="0" fillId="0" borderId="18" xfId="0" applyFont="1" applyFill="1" applyBorder="1" applyAlignment="1">
      <alignment horizontal="left" indent="1"/>
    </xf>
    <xf numFmtId="0" fontId="0" fillId="0" borderId="69" xfId="0" applyFont="1" applyBorder="1" applyAlignment="1">
      <alignment horizontal="center" wrapText="1"/>
    </xf>
    <xf numFmtId="0" fontId="0" fillId="0" borderId="3" xfId="0" applyFont="1" applyBorder="1" applyAlignment="1">
      <alignment horizontal="left" wrapText="1" indent="2"/>
    </xf>
    <xf numFmtId="0" fontId="1" fillId="0" borderId="69" xfId="0" applyFont="1" applyBorder="1" applyAlignment="1">
      <alignment horizontal="left" wrapText="1" indent="1"/>
    </xf>
    <xf numFmtId="0" fontId="3" fillId="0" borderId="3" xfId="0" applyFont="1" applyFill="1" applyBorder="1" applyAlignment="1">
      <alignment horizontal="left" indent="1"/>
    </xf>
    <xf numFmtId="0" fontId="3" fillId="0" borderId="3" xfId="0" applyFont="1" applyBorder="1" applyAlignment="1">
      <alignment horizontal="center" wrapText="1"/>
    </xf>
    <xf numFmtId="37" fontId="68" fillId="0" borderId="8" xfId="0" applyNumberFormat="1" applyFont="1" applyFill="1" applyBorder="1"/>
    <xf numFmtId="0" fontId="60" fillId="0" borderId="0" xfId="0" applyFont="1" applyAlignment="1">
      <alignment horizontal="left" indent="1"/>
    </xf>
    <xf numFmtId="0" fontId="0" fillId="0" borderId="0" xfId="0" applyFill="1" applyAlignment="1"/>
    <xf numFmtId="0" fontId="0" fillId="0" borderId="44" xfId="0" applyBorder="1" applyAlignment="1">
      <alignment horizontal="center"/>
    </xf>
    <xf numFmtId="0" fontId="0" fillId="0" borderId="0" xfId="0" applyAlignment="1">
      <alignment wrapText="1"/>
    </xf>
    <xf numFmtId="15" fontId="39" fillId="0" borderId="44" xfId="0" applyNumberFormat="1" applyFont="1" applyBorder="1" applyAlignment="1">
      <alignment horizontal="center"/>
    </xf>
    <xf numFmtId="0" fontId="39" fillId="0" borderId="44" xfId="0" applyFont="1" applyBorder="1"/>
    <xf numFmtId="0" fontId="39" fillId="0" borderId="0" xfId="0" applyFont="1"/>
    <xf numFmtId="0" fontId="49" fillId="6" borderId="0" xfId="0" applyFont="1" applyFill="1"/>
    <xf numFmtId="0" fontId="49" fillId="6" borderId="0" xfId="0" applyFont="1" applyFill="1" applyAlignment="1">
      <alignment horizontal="center"/>
    </xf>
    <xf numFmtId="0" fontId="39" fillId="0" borderId="44" xfId="0" applyFont="1" applyBorder="1" applyAlignment="1">
      <alignment horizontal="left" wrapText="1"/>
    </xf>
    <xf numFmtId="15" fontId="39" fillId="0" borderId="44" xfId="0" applyNumberFormat="1" applyFont="1" applyBorder="1" applyAlignment="1">
      <alignment horizontal="left" wrapText="1"/>
    </xf>
    <xf numFmtId="0" fontId="39" fillId="0" borderId="44" xfId="0" applyFont="1" applyBorder="1" applyAlignment="1">
      <alignment wrapText="1"/>
    </xf>
    <xf numFmtId="0" fontId="39" fillId="0" borderId="0" xfId="0" applyFont="1" applyAlignment="1">
      <alignment wrapText="1"/>
    </xf>
    <xf numFmtId="177" fontId="0" fillId="0" borderId="44" xfId="0" applyNumberFormat="1" applyBorder="1" applyAlignment="1">
      <alignment horizontal="right"/>
    </xf>
    <xf numFmtId="15" fontId="39" fillId="0" borderId="44" xfId="0" applyNumberFormat="1" applyFont="1" applyBorder="1" applyAlignment="1">
      <alignment horizontal="left"/>
    </xf>
    <xf numFmtId="0" fontId="39" fillId="0" borderId="44" xfId="0" applyFont="1" applyBorder="1" applyAlignment="1">
      <alignment horizontal="left"/>
    </xf>
    <xf numFmtId="37" fontId="0" fillId="0" borderId="19" xfId="0" applyNumberFormat="1" applyFont="1" applyBorder="1"/>
    <xf numFmtId="37" fontId="0" fillId="0" borderId="22" xfId="0" applyNumberFormat="1" applyFont="1" applyBorder="1"/>
    <xf numFmtId="0" fontId="0" fillId="0" borderId="73" xfId="0" applyBorder="1"/>
    <xf numFmtId="5" fontId="0" fillId="5" borderId="3" xfId="0" applyNumberFormat="1" applyFill="1" applyBorder="1"/>
    <xf numFmtId="0" fontId="6" fillId="0" borderId="16" xfId="0" applyFont="1" applyBorder="1"/>
    <xf numFmtId="0" fontId="6" fillId="0" borderId="0" xfId="0" applyFont="1" applyBorder="1"/>
    <xf numFmtId="0" fontId="71" fillId="0" borderId="0" xfId="0" applyFont="1" applyBorder="1"/>
    <xf numFmtId="0" fontId="6" fillId="0" borderId="72" xfId="0" applyFont="1" applyBorder="1"/>
    <xf numFmtId="0" fontId="6" fillId="0" borderId="21" xfId="0" applyFont="1" applyBorder="1"/>
    <xf numFmtId="0" fontId="19" fillId="6" borderId="0" xfId="0" applyFont="1" applyFill="1" applyAlignment="1">
      <alignment horizontal="left" indent="1"/>
    </xf>
    <xf numFmtId="0" fontId="10" fillId="0" borderId="0" xfId="0" applyFont="1" applyAlignment="1">
      <alignment horizontal="right" indent="1"/>
    </xf>
    <xf numFmtId="0" fontId="72" fillId="0" borderId="0" xfId="0" applyFont="1"/>
    <xf numFmtId="0" fontId="0" fillId="0" borderId="15" xfId="0" applyBorder="1"/>
    <xf numFmtId="0" fontId="53" fillId="0" borderId="16" xfId="0" applyFont="1" applyBorder="1" applyAlignment="1">
      <alignment horizontal="right"/>
    </xf>
    <xf numFmtId="0" fontId="12" fillId="0" borderId="18" xfId="0" applyFont="1" applyFill="1" applyBorder="1" applyAlignment="1">
      <alignment horizontal="left" vertical="center" indent="2"/>
    </xf>
    <xf numFmtId="0" fontId="53" fillId="0" borderId="0" xfId="0" applyFont="1" applyBorder="1" applyAlignment="1">
      <alignment horizontal="right"/>
    </xf>
    <xf numFmtId="0" fontId="0" fillId="0" borderId="18" xfId="0" applyBorder="1"/>
    <xf numFmtId="0" fontId="0" fillId="0" borderId="19" xfId="0" applyBorder="1" applyAlignment="1">
      <alignment horizontal="right"/>
    </xf>
    <xf numFmtId="0" fontId="27" fillId="0" borderId="18" xfId="0" applyFont="1" applyBorder="1" applyAlignment="1">
      <alignment horizontal="left" indent="1"/>
    </xf>
    <xf numFmtId="0" fontId="50" fillId="0" borderId="0" xfId="0" applyFont="1" applyBorder="1"/>
    <xf numFmtId="5" fontId="1" fillId="0" borderId="56" xfId="0" applyNumberFormat="1" applyFont="1" applyFill="1" applyBorder="1" applyAlignment="1">
      <alignment horizontal="right"/>
    </xf>
    <xf numFmtId="0" fontId="0" fillId="0" borderId="20" xfId="0" applyBorder="1"/>
    <xf numFmtId="0" fontId="53" fillId="0" borderId="21" xfId="0" applyFont="1" applyBorder="1" applyAlignment="1">
      <alignment horizontal="right"/>
    </xf>
    <xf numFmtId="0" fontId="28" fillId="6" borderId="27" xfId="0" applyFont="1" applyFill="1" applyBorder="1" applyAlignment="1">
      <alignment horizontal="center" wrapText="1"/>
    </xf>
    <xf numFmtId="0" fontId="28" fillId="6" borderId="28" xfId="0" applyFont="1" applyFill="1" applyBorder="1" applyAlignment="1">
      <alignment horizontal="center" wrapText="1"/>
    </xf>
    <xf numFmtId="0" fontId="28" fillId="6" borderId="29" xfId="0" applyFont="1" applyFill="1" applyBorder="1" applyAlignment="1">
      <alignment horizontal="center" wrapText="1"/>
    </xf>
    <xf numFmtId="170" fontId="21" fillId="0" borderId="0" xfId="0" applyNumberFormat="1" applyFont="1" applyFill="1" applyBorder="1" applyAlignment="1">
      <alignment horizontal="center" vertical="center"/>
    </xf>
    <xf numFmtId="0" fontId="1" fillId="0" borderId="74" xfId="0" applyFont="1" applyFill="1" applyBorder="1" applyAlignment="1">
      <alignment horizontal="center"/>
    </xf>
    <xf numFmtId="0" fontId="1" fillId="0" borderId="77" xfId="0" applyFont="1" applyFill="1" applyBorder="1" applyAlignment="1">
      <alignment horizontal="center"/>
    </xf>
    <xf numFmtId="164" fontId="9" fillId="0" borderId="78" xfId="1" applyNumberFormat="1" applyFont="1" applyFill="1" applyBorder="1"/>
    <xf numFmtId="0" fontId="9" fillId="0" borderId="74" xfId="0" applyFont="1" applyFill="1" applyBorder="1" applyAlignment="1">
      <alignment horizontal="left" indent="2"/>
    </xf>
    <xf numFmtId="0" fontId="9" fillId="0" borderId="76" xfId="0" applyFont="1" applyFill="1" applyBorder="1" applyAlignment="1">
      <alignment horizontal="left" indent="2"/>
    </xf>
    <xf numFmtId="0" fontId="0" fillId="0" borderId="0" xfId="0" quotePrefix="1" applyFont="1" applyAlignment="1">
      <alignment horizontal="left"/>
    </xf>
    <xf numFmtId="0" fontId="14" fillId="0" borderId="0" xfId="0" applyFont="1"/>
    <xf numFmtId="0" fontId="26" fillId="0" borderId="0" xfId="0" applyFont="1" applyAlignment="1">
      <alignment horizontal="left" indent="1"/>
    </xf>
    <xf numFmtId="0" fontId="26" fillId="0" borderId="0" xfId="0" applyFont="1" applyAlignment="1">
      <alignment horizontal="left" indent="4"/>
    </xf>
    <xf numFmtId="0" fontId="62" fillId="0" borderId="0" xfId="0" applyFont="1" applyAlignment="1">
      <alignment horizontal="left" indent="1"/>
    </xf>
    <xf numFmtId="0" fontId="10" fillId="0" borderId="23" xfId="0" applyFont="1" applyFill="1" applyBorder="1" applyAlignment="1">
      <alignment horizontal="left" vertical="center"/>
    </xf>
    <xf numFmtId="0" fontId="10" fillId="0" borderId="18" xfId="0" applyFont="1" applyFill="1" applyBorder="1" applyAlignment="1">
      <alignment horizontal="left" vertical="center" wrapText="1"/>
    </xf>
    <xf numFmtId="0" fontId="62" fillId="0" borderId="0" xfId="0" applyFont="1" applyAlignment="1">
      <alignment horizontal="left" indent="3"/>
    </xf>
    <xf numFmtId="0" fontId="26" fillId="0" borderId="0" xfId="0" applyFont="1" applyAlignment="1">
      <alignment horizontal="left" indent="6"/>
    </xf>
    <xf numFmtId="0" fontId="10" fillId="0" borderId="0" xfId="0" quotePrefix="1" applyFont="1" applyAlignment="1">
      <alignment horizontal="left" indent="1"/>
    </xf>
    <xf numFmtId="177" fontId="39" fillId="0" borderId="44" xfId="0" applyNumberFormat="1" applyFont="1" applyBorder="1" applyAlignment="1">
      <alignment horizontal="right"/>
    </xf>
    <xf numFmtId="0" fontId="74" fillId="7" borderId="27" xfId="0" applyFont="1" applyFill="1" applyBorder="1" applyAlignment="1">
      <alignment vertical="center"/>
    </xf>
    <xf numFmtId="0" fontId="74" fillId="7" borderId="27" xfId="0" applyFont="1" applyFill="1" applyBorder="1" applyAlignment="1">
      <alignment vertical="center" wrapText="1"/>
    </xf>
    <xf numFmtId="0" fontId="75" fillId="5" borderId="10" xfId="0" applyFont="1" applyFill="1" applyBorder="1" applyAlignment="1">
      <alignment horizontal="left" vertical="center" wrapText="1"/>
    </xf>
    <xf numFmtId="2" fontId="13" fillId="5" borderId="18" xfId="0" applyNumberFormat="1" applyFont="1" applyFill="1" applyBorder="1" applyAlignment="1">
      <alignment horizontal="center" vertical="center"/>
    </xf>
    <xf numFmtId="2" fontId="13" fillId="5" borderId="0" xfId="0" applyNumberFormat="1" applyFont="1" applyFill="1" applyBorder="1" applyAlignment="1">
      <alignment horizontal="center" vertical="center"/>
    </xf>
    <xf numFmtId="2" fontId="10" fillId="5" borderId="19" xfId="0" applyNumberFormat="1" applyFont="1" applyFill="1" applyBorder="1" applyAlignment="1">
      <alignment horizontal="center" vertical="center"/>
    </xf>
    <xf numFmtId="2" fontId="10" fillId="5" borderId="18" xfId="0" applyNumberFormat="1" applyFont="1" applyFill="1" applyBorder="1" applyAlignment="1">
      <alignment horizontal="center" vertical="center"/>
    </xf>
    <xf numFmtId="2" fontId="13" fillId="5" borderId="19" xfId="0" applyNumberFormat="1" applyFont="1" applyFill="1" applyBorder="1" applyAlignment="1">
      <alignment horizontal="center" vertical="center"/>
    </xf>
    <xf numFmtId="0" fontId="75" fillId="5" borderId="47" xfId="0" applyFont="1" applyFill="1" applyBorder="1" applyAlignment="1">
      <alignment horizontal="left" vertical="center" wrapText="1"/>
    </xf>
    <xf numFmtId="2" fontId="10" fillId="5" borderId="48" xfId="0" applyNumberFormat="1" applyFont="1" applyFill="1" applyBorder="1" applyAlignment="1">
      <alignment horizontal="center" vertical="center"/>
    </xf>
    <xf numFmtId="2" fontId="10" fillId="5" borderId="49" xfId="0" applyNumberFormat="1" applyFont="1" applyFill="1" applyBorder="1" applyAlignment="1">
      <alignment horizontal="center" vertical="center"/>
    </xf>
    <xf numFmtId="2" fontId="13" fillId="5" borderId="49" xfId="0" applyNumberFormat="1" applyFont="1" applyFill="1" applyBorder="1" applyAlignment="1">
      <alignment horizontal="center" vertical="center"/>
    </xf>
    <xf numFmtId="2" fontId="13" fillId="5" borderId="50" xfId="0" applyNumberFormat="1" applyFont="1" applyFill="1" applyBorder="1" applyAlignment="1">
      <alignment horizontal="center" vertical="center"/>
    </xf>
    <xf numFmtId="0" fontId="75" fillId="5" borderId="42" xfId="0" applyFont="1" applyFill="1" applyBorder="1" applyAlignment="1">
      <alignment horizontal="left" vertical="center" wrapText="1"/>
    </xf>
    <xf numFmtId="2" fontId="10" fillId="5" borderId="43" xfId="0" applyNumberFormat="1" applyFont="1" applyFill="1" applyBorder="1" applyAlignment="1">
      <alignment horizontal="center" vertical="center"/>
    </xf>
    <xf numFmtId="2" fontId="10" fillId="5" borderId="44" xfId="0" applyNumberFormat="1" applyFont="1" applyFill="1" applyBorder="1" applyAlignment="1">
      <alignment horizontal="center" vertical="center"/>
    </xf>
    <xf numFmtId="2" fontId="13" fillId="5" borderId="44" xfId="0" applyNumberFormat="1" applyFont="1" applyFill="1" applyBorder="1" applyAlignment="1">
      <alignment horizontal="center" vertical="center"/>
    </xf>
    <xf numFmtId="2" fontId="13" fillId="5" borderId="45" xfId="0" applyNumberFormat="1" applyFont="1" applyFill="1" applyBorder="1" applyAlignment="1">
      <alignment horizontal="center" vertical="center"/>
    </xf>
    <xf numFmtId="2" fontId="10" fillId="5" borderId="45" xfId="0" applyNumberFormat="1" applyFont="1" applyFill="1" applyBorder="1" applyAlignment="1">
      <alignment horizontal="center" vertical="center"/>
    </xf>
    <xf numFmtId="0" fontId="75" fillId="5" borderId="51" xfId="0" applyFont="1" applyFill="1" applyBorder="1" applyAlignment="1">
      <alignment horizontal="left" vertical="center" wrapText="1"/>
    </xf>
    <xf numFmtId="2" fontId="10" fillId="5" borderId="52" xfId="0" applyNumberFormat="1" applyFont="1" applyFill="1" applyBorder="1" applyAlignment="1">
      <alignment horizontal="center" vertical="center"/>
    </xf>
    <xf numFmtId="2" fontId="13" fillId="5" borderId="53" xfId="0" applyNumberFormat="1" applyFont="1" applyFill="1" applyBorder="1" applyAlignment="1">
      <alignment horizontal="center" vertical="center"/>
    </xf>
    <xf numFmtId="2" fontId="10" fillId="5" borderId="54" xfId="0" applyNumberFormat="1" applyFont="1" applyFill="1" applyBorder="1" applyAlignment="1">
      <alignment horizontal="center" vertical="center"/>
    </xf>
    <xf numFmtId="2" fontId="13" fillId="5" borderId="48" xfId="0" applyNumberFormat="1" applyFont="1" applyFill="1" applyBorder="1" applyAlignment="1">
      <alignment horizontal="center" vertical="center"/>
    </xf>
    <xf numFmtId="2" fontId="10" fillId="5" borderId="50" xfId="0" applyNumberFormat="1" applyFont="1" applyFill="1" applyBorder="1" applyAlignment="1">
      <alignment horizontal="center" vertical="center"/>
    </xf>
    <xf numFmtId="2" fontId="13" fillId="5" borderId="43" xfId="0" applyNumberFormat="1" applyFont="1" applyFill="1" applyBorder="1" applyAlignment="1">
      <alignment horizontal="center" vertical="center"/>
    </xf>
    <xf numFmtId="2" fontId="13" fillId="5" borderId="52" xfId="0" applyNumberFormat="1" applyFont="1" applyFill="1" applyBorder="1" applyAlignment="1">
      <alignment horizontal="center" vertical="center"/>
    </xf>
    <xf numFmtId="2" fontId="10" fillId="5" borderId="53" xfId="0" applyNumberFormat="1" applyFont="1" applyFill="1" applyBorder="1" applyAlignment="1">
      <alignment horizontal="center" vertical="center"/>
    </xf>
    <xf numFmtId="0" fontId="0" fillId="5" borderId="0" xfId="0" applyFill="1" applyBorder="1"/>
    <xf numFmtId="0" fontId="10" fillId="5" borderId="18" xfId="0" applyFont="1" applyFill="1" applyBorder="1" applyAlignment="1">
      <alignment horizontal="left" indent="4"/>
    </xf>
    <xf numFmtId="0" fontId="10" fillId="5" borderId="0" xfId="0" applyFont="1" applyFill="1" applyBorder="1"/>
    <xf numFmtId="0" fontId="43" fillId="5" borderId="18" xfId="0" applyFont="1" applyFill="1" applyBorder="1" applyAlignment="1">
      <alignment horizontal="left" indent="4"/>
    </xf>
    <xf numFmtId="0" fontId="10" fillId="5" borderId="20" xfId="0" applyFont="1" applyFill="1" applyBorder="1" applyAlignment="1">
      <alignment horizontal="left" indent="2"/>
    </xf>
    <xf numFmtId="0" fontId="0" fillId="5" borderId="21" xfId="0" applyFill="1" applyBorder="1"/>
    <xf numFmtId="0" fontId="25" fillId="4" borderId="59" xfId="0" applyFont="1" applyFill="1" applyBorder="1" applyAlignment="1">
      <alignment horizontal="center" vertical="top"/>
    </xf>
    <xf numFmtId="0" fontId="25" fillId="4" borderId="32" xfId="0" applyFont="1" applyFill="1" applyBorder="1" applyAlignment="1">
      <alignment horizontal="center" vertical="top"/>
    </xf>
    <xf numFmtId="0" fontId="25" fillId="4" borderId="21" xfId="0" applyFont="1" applyFill="1" applyBorder="1" applyAlignment="1">
      <alignment horizontal="center" vertical="top"/>
    </xf>
    <xf numFmtId="43" fontId="10" fillId="0" borderId="61" xfId="5" applyNumberFormat="1" applyFont="1" applyFill="1" applyBorder="1" applyAlignment="1">
      <alignment vertical="top"/>
    </xf>
    <xf numFmtId="43" fontId="10" fillId="0" borderId="33" xfId="5" applyNumberFormat="1" applyFont="1" applyFill="1" applyBorder="1" applyAlignment="1">
      <alignment vertical="top"/>
    </xf>
    <xf numFmtId="43" fontId="10" fillId="0" borderId="22" xfId="5" applyNumberFormat="1" applyFont="1" applyFill="1" applyBorder="1" applyAlignment="1">
      <alignment vertical="top"/>
    </xf>
    <xf numFmtId="0" fontId="10" fillId="0" borderId="58" xfId="0" applyFont="1" applyFill="1" applyBorder="1" applyAlignment="1">
      <alignment horizontal="left" vertical="top" wrapText="1" indent="1"/>
    </xf>
    <xf numFmtId="0" fontId="10" fillId="0" borderId="59" xfId="0" applyFont="1" applyFill="1" applyBorder="1" applyAlignment="1">
      <alignment vertical="top" wrapText="1"/>
    </xf>
    <xf numFmtId="0" fontId="10" fillId="0" borderId="31" xfId="0" applyFont="1" applyFill="1" applyBorder="1" applyAlignment="1">
      <alignment horizontal="left" vertical="top" wrapText="1" indent="1"/>
    </xf>
    <xf numFmtId="0" fontId="10" fillId="0" borderId="32" xfId="0" applyFont="1" applyFill="1" applyBorder="1" applyAlignment="1">
      <alignment vertical="top" wrapText="1"/>
    </xf>
    <xf numFmtId="0" fontId="10" fillId="0" borderId="20" xfId="0" applyFont="1" applyFill="1" applyBorder="1" applyAlignment="1">
      <alignment horizontal="left" vertical="top" wrapText="1" indent="1"/>
    </xf>
    <xf numFmtId="0" fontId="10" fillId="0" borderId="60" xfId="0" applyFont="1" applyFill="1" applyBorder="1" applyAlignment="1">
      <alignment vertical="top" wrapText="1"/>
    </xf>
    <xf numFmtId="0" fontId="10" fillId="0" borderId="21" xfId="0" applyFont="1" applyFill="1" applyBorder="1" applyAlignment="1">
      <alignment vertical="top" wrapText="1"/>
    </xf>
    <xf numFmtId="0" fontId="10" fillId="0" borderId="0" xfId="0" applyFont="1" applyAlignment="1">
      <alignment vertical="center"/>
    </xf>
    <xf numFmtId="0" fontId="10" fillId="0" borderId="0" xfId="0" quotePrefix="1" applyFont="1" applyAlignment="1">
      <alignment horizontal="left" indent="2"/>
    </xf>
    <xf numFmtId="43" fontId="0" fillId="0" borderId="0" xfId="0" applyNumberFormat="1"/>
    <xf numFmtId="0" fontId="77" fillId="0" borderId="0" xfId="0" applyFont="1"/>
    <xf numFmtId="0" fontId="10" fillId="0" borderId="0" xfId="0" quotePrefix="1" applyFont="1" applyAlignment="1">
      <alignment horizontal="left" indent="5"/>
    </xf>
    <xf numFmtId="0" fontId="0" fillId="0" borderId="0" xfId="0" quotePrefix="1" applyFont="1"/>
    <xf numFmtId="167" fontId="24" fillId="5" borderId="21" xfId="5" applyNumberFormat="1" applyFont="1" applyFill="1" applyBorder="1"/>
    <xf numFmtId="167" fontId="24" fillId="5" borderId="22" xfId="5" applyNumberFormat="1" applyFont="1" applyFill="1" applyBorder="1"/>
    <xf numFmtId="0" fontId="0" fillId="0" borderId="0" xfId="0" quotePrefix="1" applyFont="1" applyAlignment="1">
      <alignment horizontal="left" indent="1"/>
    </xf>
    <xf numFmtId="0" fontId="39" fillId="0" borderId="44" xfId="0" applyFont="1" applyBorder="1" applyAlignment="1">
      <alignment horizontal="center"/>
    </xf>
    <xf numFmtId="0" fontId="26" fillId="0" borderId="0" xfId="0" quotePrefix="1" applyFont="1" applyAlignment="1">
      <alignment horizontal="left" indent="2"/>
    </xf>
    <xf numFmtId="0" fontId="13" fillId="0" borderId="20" xfId="0" applyFont="1" applyFill="1" applyBorder="1" applyAlignment="1">
      <alignment horizontal="left" vertical="center"/>
    </xf>
    <xf numFmtId="164" fontId="32" fillId="0" borderId="22" xfId="1" applyNumberFormat="1" applyFont="1" applyFill="1" applyBorder="1" applyAlignment="1">
      <alignment horizontal="right" vertical="top" wrapText="1"/>
    </xf>
    <xf numFmtId="0" fontId="58" fillId="4" borderId="3" xfId="0" applyFont="1" applyFill="1" applyBorder="1" applyAlignment="1">
      <alignment horizontal="center" vertical="center"/>
    </xf>
    <xf numFmtId="0" fontId="26"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54" fillId="0" borderId="0" xfId="0" applyFont="1" applyAlignment="1">
      <alignment horizontal="right" vertical="top"/>
    </xf>
    <xf numFmtId="175" fontId="10" fillId="0" borderId="1" xfId="5" applyNumberFormat="1" applyFont="1" applyFill="1" applyBorder="1" applyAlignment="1">
      <alignment vertical="top" wrapText="1"/>
    </xf>
    <xf numFmtId="175" fontId="10" fillId="0" borderId="24" xfId="5" applyNumberFormat="1" applyFont="1" applyFill="1" applyBorder="1" applyAlignment="1">
      <alignment vertical="top" wrapText="1"/>
    </xf>
    <xf numFmtId="167" fontId="10" fillId="0" borderId="0" xfId="5" applyNumberFormat="1" applyFont="1" applyFill="1" applyBorder="1" applyAlignment="1">
      <alignment vertical="top" wrapText="1"/>
    </xf>
    <xf numFmtId="167" fontId="10" fillId="0" borderId="19" xfId="5" applyNumberFormat="1" applyFont="1" applyFill="1" applyBorder="1" applyAlignment="1">
      <alignment vertical="top" wrapText="1"/>
    </xf>
    <xf numFmtId="168" fontId="10" fillId="0" borderId="1" xfId="0" applyNumberFormat="1" applyFont="1" applyFill="1" applyBorder="1" applyAlignment="1">
      <alignment vertical="top" wrapText="1"/>
    </xf>
    <xf numFmtId="168" fontId="10" fillId="0" borderId="24" xfId="0" applyNumberFormat="1" applyFont="1" applyFill="1" applyBorder="1" applyAlignment="1">
      <alignment vertical="top" wrapText="1"/>
    </xf>
    <xf numFmtId="168" fontId="10" fillId="0" borderId="0" xfId="0" applyNumberFormat="1" applyFont="1" applyFill="1" applyBorder="1" applyAlignment="1">
      <alignment vertical="top" wrapText="1"/>
    </xf>
    <xf numFmtId="168" fontId="10" fillId="0" borderId="19" xfId="0" applyNumberFormat="1" applyFont="1" applyFill="1" applyBorder="1" applyAlignment="1">
      <alignment vertical="top" wrapText="1"/>
    </xf>
    <xf numFmtId="0" fontId="12" fillId="0" borderId="0" xfId="0" applyFont="1" applyAlignment="1">
      <alignment vertical="center"/>
    </xf>
    <xf numFmtId="0" fontId="76" fillId="0" borderId="0" xfId="0" applyFont="1" applyBorder="1" applyAlignment="1">
      <alignment horizontal="left" indent="1"/>
    </xf>
    <xf numFmtId="0" fontId="78" fillId="0" borderId="0" xfId="0" applyFont="1" applyFill="1"/>
    <xf numFmtId="164" fontId="79" fillId="0" borderId="30" xfId="1" applyNumberFormat="1" applyFont="1" applyFill="1" applyBorder="1"/>
    <xf numFmtId="0" fontId="62" fillId="0" borderId="20" xfId="0" applyFont="1" applyBorder="1" applyAlignment="1">
      <alignment horizontal="left" indent="1"/>
    </xf>
    <xf numFmtId="164" fontId="62" fillId="0" borderId="22" xfId="0" applyNumberFormat="1" applyFont="1" applyBorder="1"/>
    <xf numFmtId="0" fontId="25" fillId="4" borderId="3" xfId="0" applyFont="1" applyFill="1" applyBorder="1" applyAlignment="1">
      <alignment horizontal="center"/>
    </xf>
    <xf numFmtId="0" fontId="3" fillId="0" borderId="0" xfId="0" applyFont="1" applyAlignment="1">
      <alignment horizontal="right"/>
    </xf>
    <xf numFmtId="0" fontId="10" fillId="0" borderId="0" xfId="0" applyFont="1" applyAlignment="1">
      <alignment horizontal="left" indent="3"/>
    </xf>
    <xf numFmtId="9" fontId="80" fillId="0" borderId="0" xfId="0" applyNumberFormat="1" applyFont="1" applyAlignment="1">
      <alignment horizontal="center"/>
    </xf>
    <xf numFmtId="0" fontId="81" fillId="0" borderId="0" xfId="0" applyFont="1"/>
    <xf numFmtId="9" fontId="82" fillId="0" borderId="0" xfId="0" applyNumberFormat="1" applyFont="1" applyAlignment="1">
      <alignment horizontal="center"/>
    </xf>
    <xf numFmtId="0" fontId="72" fillId="0" borderId="0" xfId="0" applyFont="1" applyFill="1" applyAlignment="1"/>
    <xf numFmtId="0" fontId="72" fillId="0" borderId="0" xfId="0" applyFont="1" applyFill="1"/>
    <xf numFmtId="0" fontId="72" fillId="0" borderId="0" xfId="0" applyFont="1" applyFill="1" applyAlignment="1">
      <alignment wrapText="1"/>
    </xf>
    <xf numFmtId="0" fontId="72" fillId="0" borderId="0" xfId="0" applyFont="1" applyFill="1" applyAlignment="1">
      <alignment horizontal="left" wrapText="1"/>
    </xf>
    <xf numFmtId="0" fontId="83" fillId="0" borderId="0" xfId="0" applyFont="1" applyFill="1" applyAlignment="1">
      <alignment wrapText="1"/>
    </xf>
    <xf numFmtId="0" fontId="21" fillId="6" borderId="29" xfId="0" applyFont="1" applyFill="1" applyBorder="1" applyAlignment="1">
      <alignment horizontal="center"/>
    </xf>
    <xf numFmtId="0" fontId="0" fillId="5" borderId="19" xfId="0" applyFill="1" applyBorder="1" applyAlignment="1">
      <alignment horizontal="center"/>
    </xf>
    <xf numFmtId="37" fontId="1" fillId="0" borderId="17" xfId="0" applyNumberFormat="1" applyFont="1" applyBorder="1"/>
    <xf numFmtId="37" fontId="1" fillId="0" borderId="19" xfId="0" applyNumberFormat="1" applyFont="1" applyBorder="1"/>
    <xf numFmtId="37" fontId="84" fillId="0" borderId="19" xfId="0" applyNumberFormat="1" applyFont="1" applyBorder="1"/>
    <xf numFmtId="175" fontId="9" fillId="0" borderId="29" xfId="0" applyNumberFormat="1" applyFont="1" applyFill="1" applyBorder="1"/>
    <xf numFmtId="0" fontId="1" fillId="0" borderId="0" xfId="0" applyFont="1" applyBorder="1"/>
    <xf numFmtId="0" fontId="1" fillId="0" borderId="0" xfId="0" applyFont="1" applyBorder="1" applyAlignment="1">
      <alignment horizontal="left"/>
    </xf>
    <xf numFmtId="0" fontId="42" fillId="0" borderId="0" xfId="0" applyFont="1" applyBorder="1" applyAlignment="1">
      <alignment horizontal="left" indent="1"/>
    </xf>
    <xf numFmtId="0" fontId="0" fillId="0" borderId="0" xfId="0" quotePrefix="1" applyBorder="1" applyAlignment="1">
      <alignment horizontal="left" indent="2"/>
    </xf>
    <xf numFmtId="0" fontId="0" fillId="0" borderId="0" xfId="0" applyBorder="1" applyAlignment="1">
      <alignment horizontal="left" indent="2"/>
    </xf>
    <xf numFmtId="0" fontId="69" fillId="0" borderId="0" xfId="0" quotePrefix="1" applyFont="1" applyFill="1" applyBorder="1" applyAlignment="1">
      <alignment horizontal="left" indent="2"/>
    </xf>
    <xf numFmtId="0" fontId="0" fillId="0" borderId="0" xfId="0" quotePrefix="1" applyFill="1" applyBorder="1" applyAlignment="1">
      <alignment horizontal="left" indent="2"/>
    </xf>
    <xf numFmtId="0" fontId="0" fillId="0" borderId="0" xfId="0" quotePrefix="1" applyFont="1" applyFill="1" applyBorder="1" applyAlignment="1">
      <alignment horizontal="left" indent="2"/>
    </xf>
    <xf numFmtId="0" fontId="3" fillId="0" borderId="0" xfId="0" applyFont="1" applyBorder="1" applyAlignment="1">
      <alignment horizontal="left" indent="1"/>
    </xf>
    <xf numFmtId="0" fontId="0" fillId="0" borderId="0" xfId="0" applyFont="1" applyBorder="1"/>
    <xf numFmtId="0" fontId="0" fillId="0" borderId="0" xfId="0" applyFont="1" applyBorder="1" applyAlignment="1">
      <alignment horizontal="left" indent="3"/>
    </xf>
    <xf numFmtId="0" fontId="3" fillId="0" borderId="0" xfId="0" applyFont="1" applyBorder="1" applyAlignment="1">
      <alignment horizontal="left" indent="3"/>
    </xf>
    <xf numFmtId="0" fontId="13" fillId="0" borderId="0" xfId="0" applyFont="1" applyBorder="1"/>
    <xf numFmtId="0" fontId="24" fillId="0" borderId="0" xfId="0" applyFont="1" applyFill="1" applyBorder="1"/>
    <xf numFmtId="0" fontId="0" fillId="0" borderId="0" xfId="0" quotePrefix="1" applyBorder="1" applyAlignment="1">
      <alignment horizontal="left" indent="1"/>
    </xf>
    <xf numFmtId="0" fontId="0" fillId="4" borderId="79" xfId="0" applyFill="1" applyBorder="1"/>
    <xf numFmtId="0" fontId="13" fillId="4" borderId="3" xfId="0" applyFont="1" applyFill="1" applyBorder="1"/>
    <xf numFmtId="168" fontId="0" fillId="5" borderId="19" xfId="5" applyNumberFormat="1" applyFont="1" applyFill="1" applyBorder="1" applyAlignment="1">
      <alignment horizontal="center"/>
    </xf>
    <xf numFmtId="168" fontId="1" fillId="5" borderId="22" xfId="5" applyNumberFormat="1" applyFont="1" applyFill="1" applyBorder="1" applyAlignment="1">
      <alignment horizontal="center"/>
    </xf>
    <xf numFmtId="0" fontId="19" fillId="6" borderId="27" xfId="0" applyFont="1" applyFill="1" applyBorder="1" applyAlignment="1">
      <alignment horizontal="left" indent="2"/>
    </xf>
    <xf numFmtId="0" fontId="10" fillId="5" borderId="18" xfId="0" applyFont="1" applyFill="1" applyBorder="1" applyAlignment="1">
      <alignment horizontal="left" indent="2"/>
    </xf>
    <xf numFmtId="0" fontId="19" fillId="6" borderId="15" xfId="0" applyFont="1" applyFill="1" applyBorder="1" applyAlignment="1">
      <alignment horizontal="left"/>
    </xf>
    <xf numFmtId="165" fontId="13" fillId="5" borderId="16" xfId="0" applyNumberFormat="1" applyFont="1" applyFill="1" applyBorder="1" applyAlignment="1">
      <alignment horizontal="center" vertical="center" wrapText="1"/>
    </xf>
    <xf numFmtId="2" fontId="13" fillId="5" borderId="17" xfId="0" applyNumberFormat="1" applyFont="1" applyFill="1" applyBorder="1" applyAlignment="1">
      <alignment horizontal="center" vertical="center" wrapText="1"/>
    </xf>
    <xf numFmtId="165" fontId="13" fillId="5" borderId="0" xfId="0" applyNumberFormat="1" applyFont="1" applyFill="1" applyBorder="1" applyAlignment="1">
      <alignment horizontal="center" vertical="center" wrapText="1"/>
    </xf>
    <xf numFmtId="2" fontId="13" fillId="5" borderId="19" xfId="0" applyNumberFormat="1" applyFont="1" applyFill="1" applyBorder="1" applyAlignment="1">
      <alignment horizontal="center" vertical="center" wrapText="1"/>
    </xf>
    <xf numFmtId="165" fontId="13" fillId="5" borderId="21" xfId="0" applyNumberFormat="1" applyFont="1" applyFill="1" applyBorder="1" applyAlignment="1">
      <alignment horizontal="center" vertical="center" wrapText="1"/>
    </xf>
    <xf numFmtId="2" fontId="13" fillId="5" borderId="22" xfId="0" applyNumberFormat="1" applyFont="1" applyFill="1" applyBorder="1" applyAlignment="1">
      <alignment horizontal="center" vertical="center" wrapText="1"/>
    </xf>
    <xf numFmtId="168" fontId="42" fillId="5" borderId="19" xfId="5" applyNumberFormat="1" applyFont="1" applyFill="1" applyBorder="1" applyAlignment="1">
      <alignment horizontal="center"/>
    </xf>
    <xf numFmtId="0" fontId="0" fillId="0" borderId="0" xfId="0" applyFont="1" applyAlignment="1">
      <alignment horizontal="left" indent="1"/>
    </xf>
    <xf numFmtId="0" fontId="85" fillId="0" borderId="0" xfId="0" applyFont="1" applyAlignment="1">
      <alignment horizontal="left" indent="1"/>
    </xf>
    <xf numFmtId="0" fontId="1" fillId="0" borderId="15" xfId="0" applyFont="1" applyBorder="1" applyAlignment="1">
      <alignment horizontal="left" indent="3"/>
    </xf>
    <xf numFmtId="0" fontId="1" fillId="0" borderId="18" xfId="0" applyFont="1" applyBorder="1" applyAlignment="1">
      <alignment horizontal="left" indent="3"/>
    </xf>
    <xf numFmtId="0" fontId="84" fillId="0" borderId="18" xfId="0" applyFont="1" applyBorder="1" applyAlignment="1">
      <alignment horizontal="left" indent="3"/>
    </xf>
    <xf numFmtId="0" fontId="1" fillId="0" borderId="71" xfId="0" applyFont="1" applyBorder="1" applyAlignment="1">
      <alignment horizontal="left" indent="1"/>
    </xf>
    <xf numFmtId="0" fontId="0" fillId="0" borderId="18" xfId="0" applyFont="1" applyBorder="1" applyAlignment="1">
      <alignment horizontal="left" indent="3"/>
    </xf>
    <xf numFmtId="0" fontId="0" fillId="0" borderId="20" xfId="0" applyFont="1" applyBorder="1" applyAlignment="1">
      <alignment horizontal="left" indent="3"/>
    </xf>
    <xf numFmtId="164" fontId="9" fillId="0" borderId="75" xfId="1" applyNumberFormat="1" applyFont="1" applyFill="1" applyBorder="1" applyAlignment="1">
      <alignment horizontal="center"/>
    </xf>
    <xf numFmtId="0" fontId="9" fillId="5" borderId="27" xfId="0" applyFont="1" applyFill="1" applyBorder="1" applyAlignment="1">
      <alignment horizontal="left" indent="2"/>
    </xf>
    <xf numFmtId="0" fontId="10" fillId="5" borderId="28" xfId="0" applyFont="1" applyFill="1" applyBorder="1"/>
    <xf numFmtId="0" fontId="15" fillId="5" borderId="29" xfId="0" applyFont="1" applyFill="1" applyBorder="1" applyAlignment="1">
      <alignment horizontal="right"/>
    </xf>
    <xf numFmtId="0" fontId="9" fillId="0" borderId="0" xfId="0" applyFont="1" applyAlignment="1">
      <alignment horizontal="right" indent="1"/>
    </xf>
    <xf numFmtId="0" fontId="39" fillId="0" borderId="44" xfId="0" applyFont="1" applyBorder="1" applyAlignment="1">
      <alignment wrapText="1"/>
    </xf>
    <xf numFmtId="15" fontId="39" fillId="0" borderId="44" xfId="0" applyNumberFormat="1" applyFont="1" applyBorder="1" applyAlignment="1">
      <alignment horizontal="left" wrapText="1"/>
    </xf>
    <xf numFmtId="0" fontId="39" fillId="0" borderId="44" xfId="0" applyFont="1" applyBorder="1" applyAlignment="1">
      <alignment horizontal="left"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6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0" fillId="2" borderId="12" xfId="0" applyFill="1" applyBorder="1" applyAlignment="1">
      <alignment horizontal="left" vertical="center" wrapText="1"/>
    </xf>
    <xf numFmtId="0" fontId="0" fillId="2" borderId="11" xfId="0" applyFill="1" applyBorder="1" applyAlignment="1">
      <alignment horizontal="left"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8" borderId="12" xfId="0" applyFont="1" applyFill="1" applyBorder="1" applyAlignment="1">
      <alignment horizontal="center" vertical="center" wrapText="1"/>
    </xf>
    <xf numFmtId="0" fontId="0" fillId="8" borderId="10" xfId="0" applyFont="1" applyFill="1" applyBorder="1" applyAlignment="1">
      <alignment horizontal="center" vertical="center" wrapText="1"/>
    </xf>
    <xf numFmtId="0" fontId="0" fillId="8" borderId="11" xfId="0" applyFont="1" applyFill="1" applyBorder="1" applyAlignment="1">
      <alignment horizontal="center" vertical="center" wrapText="1"/>
    </xf>
    <xf numFmtId="0" fontId="19" fillId="6" borderId="27" xfId="0" applyFont="1" applyFill="1" applyBorder="1" applyAlignment="1">
      <alignment horizontal="center"/>
    </xf>
    <xf numFmtId="0" fontId="19" fillId="6" borderId="28" xfId="0" applyFont="1" applyFill="1" applyBorder="1" applyAlignment="1">
      <alignment horizontal="center"/>
    </xf>
    <xf numFmtId="0" fontId="19" fillId="6" borderId="29" xfId="0" applyFont="1" applyFill="1" applyBorder="1" applyAlignment="1">
      <alignment horizontal="center"/>
    </xf>
    <xf numFmtId="0" fontId="0" fillId="8" borderId="15" xfId="0" applyFont="1" applyFill="1" applyBorder="1" applyAlignment="1">
      <alignment horizontal="center" vertical="center"/>
    </xf>
    <xf numFmtId="0" fontId="0" fillId="8" borderId="20" xfId="0" applyFont="1" applyFill="1" applyBorder="1" applyAlignment="1">
      <alignment horizontal="center" vertical="center"/>
    </xf>
    <xf numFmtId="0" fontId="88" fillId="0" borderId="0" xfId="0" applyFont="1" applyAlignment="1">
      <alignment horizontal="left" vertical="center" indent="1"/>
    </xf>
    <xf numFmtId="0" fontId="87" fillId="0" borderId="0" xfId="0" applyFont="1" applyAlignment="1">
      <alignment vertical="center" wrapText="1"/>
    </xf>
    <xf numFmtId="0" fontId="72" fillId="0" borderId="0" xfId="0" applyFont="1" applyAlignment="1">
      <alignment horizontal="left" vertical="center" wrapText="1"/>
    </xf>
    <xf numFmtId="0" fontId="88" fillId="0" borderId="0" xfId="0" applyFont="1" applyAlignment="1">
      <alignment vertical="center" wrapText="1"/>
    </xf>
    <xf numFmtId="0" fontId="90" fillId="0" borderId="0" xfId="0" applyFont="1" applyAlignment="1">
      <alignment vertical="center"/>
    </xf>
    <xf numFmtId="0" fontId="72" fillId="0" borderId="0" xfId="0" applyFont="1" applyAlignment="1">
      <alignment wrapText="1"/>
    </xf>
    <xf numFmtId="0" fontId="89" fillId="0" borderId="0" xfId="0" applyFont="1" applyAlignment="1">
      <alignment vertical="center" wrapText="1"/>
    </xf>
    <xf numFmtId="0" fontId="72" fillId="0" borderId="0" xfId="0" applyFont="1" applyAlignment="1">
      <alignment vertical="center" wrapText="1"/>
    </xf>
    <xf numFmtId="0" fontId="91" fillId="0" borderId="0" xfId="0" applyFont="1" applyAlignment="1">
      <alignment horizontal="left" vertical="center" wrapText="1" indent="3"/>
    </xf>
    <xf numFmtId="0" fontId="72" fillId="0" borderId="0" xfId="0" applyFont="1" applyAlignment="1">
      <alignment horizontal="left" vertical="center" wrapText="1" indent="3"/>
    </xf>
  </cellXfs>
  <cellStyles count="8">
    <cellStyle name="Comma" xfId="5" builtinId="3"/>
    <cellStyle name="Comma 2" xfId="4"/>
    <cellStyle name="Currency" xfId="1" builtinId="4"/>
    <cellStyle name="Currency 2" xfId="3"/>
    <cellStyle name="Normal" xfId="0" builtinId="0"/>
    <cellStyle name="Normal 2" xfId="2"/>
    <cellStyle name="Normal 2 2" xfId="6"/>
    <cellStyle name="Normal 3" xfId="7"/>
  </cellStyles>
  <dxfs count="1">
    <dxf>
      <fill>
        <patternFill>
          <bgColor rgb="FFFFC000"/>
        </patternFill>
      </fill>
    </dxf>
  </dxfs>
  <tableStyles count="0" defaultTableStyle="TableStyleMedium9" defaultPivotStyle="PivotStyleLight16"/>
  <colors>
    <mruColors>
      <color rgb="FFEEA632"/>
      <color rgb="FFFEEC00"/>
      <color rgb="FFD9D9D9"/>
      <color rgb="FF06C245"/>
      <color rgb="FF006600"/>
      <color rgb="FF177B39"/>
      <color rgb="FFDC6E00"/>
      <color rgb="FF558ED5"/>
      <color rgb="FF7E9BC8"/>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Summary of Retrospective Estimates of the Cumulative Development Costs for a Software Global Good</a:t>
            </a:r>
            <a:endParaRPr lang="en-US" sz="1200"/>
          </a:p>
        </c:rich>
      </c:tx>
      <c:overlay val="0"/>
      <c:spPr>
        <a:noFill/>
        <a:ln>
          <a:noFill/>
        </a:ln>
        <a:effectLst/>
      </c:spPr>
    </c:title>
    <c:autoTitleDeleted val="0"/>
    <c:plotArea>
      <c:layout>
        <c:manualLayout>
          <c:layoutTarget val="inner"/>
          <c:xMode val="edge"/>
          <c:yMode val="edge"/>
          <c:x val="0.14695805352753283"/>
          <c:y val="0.32435604888613867"/>
          <c:w val="0.82640994357827002"/>
          <c:h val="0.49249142687706265"/>
        </c:manualLayout>
      </c:layout>
      <c:barChart>
        <c:barDir val="col"/>
        <c:grouping val="clustered"/>
        <c:varyColors val="0"/>
        <c:ser>
          <c:idx val="0"/>
          <c:order val="0"/>
          <c:tx>
            <c:v>Approach Results</c:v>
          </c:tx>
          <c:spPr>
            <a:solidFill>
              <a:srgbClr val="1F497D"/>
            </a:solidFill>
            <a:ln>
              <a:noFill/>
            </a:ln>
            <a:effectLst/>
          </c:spPr>
          <c:invertIfNegative val="0"/>
          <c:dPt>
            <c:idx val="3"/>
            <c:invertIfNegative val="0"/>
            <c:bubble3D val="0"/>
            <c:spPr>
              <a:solidFill>
                <a:schemeClr val="bg1">
                  <a:lumMod val="75000"/>
                </a:schemeClr>
              </a:solidFill>
              <a:ln>
                <a:noFill/>
              </a:ln>
              <a:effectLst/>
            </c:spPr>
          </c:dPt>
          <c:dLbls>
            <c:numFmt formatCode="&quot;$&quot;#,##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Results_Summary!$C$6:$C$9</c:f>
              <c:strCache>
                <c:ptCount val="4"/>
                <c:pt idx="0">
                  <c:v>Revenue-based</c:v>
                </c:pt>
                <c:pt idx="1">
                  <c:v>FTE-based, showing all FTEs (paid, indirect, &amp; free)</c:v>
                </c:pt>
                <c:pt idx="2">
                  <c:v>Code-based (COCOMO-based)</c:v>
                </c:pt>
                <c:pt idx="3">
                  <c:v>Adjusted Code-based (COCOMO/2.5)</c:v>
                </c:pt>
              </c:strCache>
            </c:strRef>
          </c:cat>
          <c:val>
            <c:numRef>
              <c:f>Results_Summary!$E$6:$E$9</c:f>
              <c:numCache>
                <c:formatCode>#,##0_);\(#,##0\)</c:formatCode>
                <c:ptCount val="4"/>
                <c:pt idx="0">
                  <c:v>0</c:v>
                </c:pt>
                <c:pt idx="1">
                  <c:v>0</c:v>
                </c:pt>
                <c:pt idx="2">
                  <c:v>0</c:v>
                </c:pt>
                <c:pt idx="3">
                  <c:v>0</c:v>
                </c:pt>
              </c:numCache>
            </c:numRef>
          </c:val>
        </c:ser>
        <c:dLbls>
          <c:showLegendKey val="0"/>
          <c:showVal val="0"/>
          <c:showCatName val="0"/>
          <c:showSerName val="0"/>
          <c:showPercent val="0"/>
          <c:showBubbleSize val="0"/>
        </c:dLbls>
        <c:gapWidth val="219"/>
        <c:overlap val="-27"/>
        <c:axId val="74974336"/>
        <c:axId val="74975872"/>
      </c:barChart>
      <c:lineChart>
        <c:grouping val="standard"/>
        <c:varyColors val="0"/>
        <c:ser>
          <c:idx val="1"/>
          <c:order val="1"/>
          <c:tx>
            <c:v>Median of non-zero results</c:v>
          </c:tx>
          <c:spPr>
            <a:ln w="19050" cap="rnd">
              <a:solidFill>
                <a:schemeClr val="bg1">
                  <a:lumMod val="65000"/>
                </a:schemeClr>
              </a:solidFill>
              <a:prstDash val="dash"/>
              <a:round/>
            </a:ln>
            <a:effectLst/>
          </c:spPr>
          <c:marker>
            <c:symbol val="none"/>
          </c:marker>
          <c:dLbls>
            <c:dLbl>
              <c:idx val="3"/>
              <c:layout>
                <c:manualLayout>
                  <c:x val="2.3013564494731849E-2"/>
                  <c:y val="7.617667116878817E-17"/>
                </c:manualLayout>
              </c:layout>
              <c:numFmt formatCode="&quot;$&quot;#,##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Summary_Retro!$Q$4:$T$4</c:f>
              <c:numCache>
                <c:formatCode>_(* #,##0_);_(* \(#,##0\);_(* "-"??_);_(@_)</c:formatCode>
                <c:ptCount val="4"/>
                <c:pt idx="0">
                  <c:v>0</c:v>
                </c:pt>
                <c:pt idx="1">
                  <c:v>0</c:v>
                </c:pt>
                <c:pt idx="2">
                  <c:v>0</c:v>
                </c:pt>
                <c:pt idx="3">
                  <c:v>0</c:v>
                </c:pt>
              </c:numCache>
            </c:numRef>
          </c:val>
          <c:smooth val="0"/>
        </c:ser>
        <c:dLbls>
          <c:showLegendKey val="0"/>
          <c:showVal val="0"/>
          <c:showCatName val="0"/>
          <c:showSerName val="0"/>
          <c:showPercent val="0"/>
          <c:showBubbleSize val="0"/>
        </c:dLbls>
        <c:marker val="1"/>
        <c:smooth val="0"/>
        <c:axId val="74974336"/>
        <c:axId val="74975872"/>
      </c:lineChart>
      <c:catAx>
        <c:axId val="74974336"/>
        <c:scaling>
          <c:orientation val="minMax"/>
        </c:scaling>
        <c:delete val="0"/>
        <c:axPos val="b"/>
        <c:numFmt formatCode="General" sourceLinked="1"/>
        <c:majorTickMark val="none"/>
        <c:minorTickMark val="none"/>
        <c:tickLblPos val="nextTo"/>
        <c:spPr>
          <a:noFill/>
          <a:ln w="317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75872"/>
        <c:crosses val="autoZero"/>
        <c:auto val="1"/>
        <c:lblAlgn val="ctr"/>
        <c:lblOffset val="100"/>
        <c:noMultiLvlLbl val="0"/>
      </c:catAx>
      <c:valAx>
        <c:axId val="74975872"/>
        <c:scaling>
          <c:orientation val="minMax"/>
        </c:scaling>
        <c:delete val="0"/>
        <c:axPos val="l"/>
        <c:majorGridlines>
          <c:spPr>
            <a:ln w="317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Development</a:t>
                </a:r>
                <a:r>
                  <a:rPr lang="en-US" sz="1100" baseline="0"/>
                  <a:t> Cost</a:t>
                </a:r>
                <a:r>
                  <a:rPr lang="en-US" sz="1100"/>
                  <a:t> estimate</a:t>
                </a:r>
              </a:p>
            </c:rich>
          </c:tx>
          <c:layout>
            <c:manualLayout>
              <c:xMode val="edge"/>
              <c:yMode val="edge"/>
              <c:x val="1.8849542520978667E-2"/>
              <c:y val="0.25144644647264675"/>
            </c:manualLayout>
          </c:layout>
          <c:overlay val="0"/>
          <c:spPr>
            <a:noFill/>
            <a:ln>
              <a:noFill/>
            </a:ln>
            <a:effectLst/>
          </c:spPr>
        </c:title>
        <c:numFmt formatCode="&quot;$&quot;#,##0" sourceLinked="0"/>
        <c:majorTickMark val="none"/>
        <c:minorTickMark val="none"/>
        <c:tickLblPos val="nextTo"/>
        <c:spPr>
          <a:noFill/>
          <a:ln w="3175">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974336"/>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egendEntry>
        <c:idx val="1"/>
        <c:txPr>
          <a:bodyPr rot="0" spcFirstLastPara="1" vertOverflow="ellipsis" vert="horz" wrap="square" anchor="ctr" anchorCtr="1"/>
          <a:lstStyle/>
          <a:p>
            <a:pPr>
              <a:defRPr sz="1050" b="0" i="1"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24145632772072895"/>
          <c:y val="0.17369669968675733"/>
          <c:w val="0.57329518116804745"/>
          <c:h val="7.8125546806649168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0" i="0" baseline="0">
                <a:effectLst/>
              </a:rPr>
              <a:t>Annual Ongoing Development Cost Estimate</a:t>
            </a:r>
            <a:endParaRPr lang="en-US" sz="1200">
              <a:effectLst/>
            </a:endParaRPr>
          </a:p>
        </c:rich>
      </c:tx>
      <c:layout>
        <c:manualLayout>
          <c:xMode val="edge"/>
          <c:yMode val="edge"/>
          <c:x val="0.2652574110500262"/>
          <c:y val="2.3444920282655896E-2"/>
        </c:manualLayout>
      </c:layout>
      <c:overlay val="0"/>
      <c:spPr>
        <a:noFill/>
        <a:ln>
          <a:noFill/>
        </a:ln>
        <a:effectLst/>
      </c:spPr>
    </c:title>
    <c:autoTitleDeleted val="0"/>
    <c:plotArea>
      <c:layout>
        <c:manualLayout>
          <c:layoutTarget val="inner"/>
          <c:xMode val="edge"/>
          <c:yMode val="edge"/>
          <c:x val="0.15632431919360046"/>
          <c:y val="0.15632990594851803"/>
          <c:w val="0.79655191993633701"/>
          <c:h val="0.55130947339094794"/>
        </c:manualLayout>
      </c:layout>
      <c:barChart>
        <c:barDir val="col"/>
        <c:grouping val="stacked"/>
        <c:varyColors val="0"/>
        <c:ser>
          <c:idx val="1"/>
          <c:order val="0"/>
          <c:tx>
            <c:v>INVISIBLE</c:v>
          </c:tx>
          <c:spPr>
            <a:noFill/>
            <a:ln>
              <a:noFill/>
            </a:ln>
            <a:effectLst/>
          </c:spPr>
          <c:invertIfNegative val="0"/>
          <c:cat>
            <c:strRef>
              <c:f>Summary_Ongoing!$Q$2:$U$2</c:f>
              <c:strCache>
                <c:ptCount val="5"/>
                <c:pt idx="0">
                  <c:v>Development
(Releases/
Maintenance)</c:v>
                </c:pt>
                <c:pt idx="1">
                  <c:v>Development
Infrastructure</c:v>
                </c:pt>
                <c:pt idx="2">
                  <c:v>Community
Support</c:v>
                </c:pt>
                <c:pt idx="3">
                  <c:v>Overhead</c:v>
                </c:pt>
                <c:pt idx="4">
                  <c:v>Total</c:v>
                </c:pt>
              </c:strCache>
            </c:strRef>
          </c:cat>
          <c:val>
            <c:numRef>
              <c:f>Summary_Ongoing!$Q$3:$U$3</c:f>
              <c:numCache>
                <c:formatCode>_(* #,##0_);_(* \(#,##0\);_(* "-"??_);_(@_)</c:formatCode>
                <c:ptCount val="5"/>
                <c:pt idx="0">
                  <c:v>0</c:v>
                </c:pt>
                <c:pt idx="1">
                  <c:v>0</c:v>
                </c:pt>
                <c:pt idx="2">
                  <c:v>0</c:v>
                </c:pt>
                <c:pt idx="3">
                  <c:v>0</c:v>
                </c:pt>
              </c:numCache>
            </c:numRef>
          </c:val>
        </c:ser>
        <c:ser>
          <c:idx val="2"/>
          <c:order val="1"/>
          <c:tx>
            <c:strRef>
              <c:f>Summary_Ongoing!$P$4</c:f>
              <c:strCache>
                <c:ptCount val="1"/>
                <c:pt idx="0">
                  <c:v>Typical Ongoing Costs/Yr</c:v>
                </c:pt>
              </c:strCache>
            </c:strRef>
          </c:tx>
          <c:spPr>
            <a:solidFill>
              <a:srgbClr val="FEEC00"/>
            </a:solidFill>
            <a:ln>
              <a:noFill/>
            </a:ln>
            <a:effectLst/>
          </c:spPr>
          <c:invertIfNegative val="0"/>
          <c:dLbls>
            <c:dLbl>
              <c:idx val="2"/>
              <c:delete val="1"/>
              <c:extLst>
                <c:ext xmlns:c15="http://schemas.microsoft.com/office/drawing/2012/chart" uri="{CE6537A1-D6FC-4f65-9D91-7224C49458BB}"/>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Summary_Ongoing!$Q$2:$U$2</c:f>
              <c:strCache>
                <c:ptCount val="5"/>
                <c:pt idx="0">
                  <c:v>Development
(Releases/
Maintenance)</c:v>
                </c:pt>
                <c:pt idx="1">
                  <c:v>Development
Infrastructure</c:v>
                </c:pt>
                <c:pt idx="2">
                  <c:v>Community
Support</c:v>
                </c:pt>
                <c:pt idx="3">
                  <c:v>Overhead</c:v>
                </c:pt>
                <c:pt idx="4">
                  <c:v>Total</c:v>
                </c:pt>
              </c:strCache>
            </c:strRef>
          </c:cat>
          <c:val>
            <c:numRef>
              <c:f>Summary_Ongoing!$Q$4:$U$4</c:f>
              <c:numCache>
                <c:formatCode>_(* #,##0_);_(* \(#,##0\);_(* "-"??_);_(@_)</c:formatCode>
                <c:ptCount val="5"/>
                <c:pt idx="0">
                  <c:v>0</c:v>
                </c:pt>
                <c:pt idx="1">
                  <c:v>0</c:v>
                </c:pt>
                <c:pt idx="2">
                  <c:v>0</c:v>
                </c:pt>
                <c:pt idx="3">
                  <c:v>0</c:v>
                </c:pt>
                <c:pt idx="4">
                  <c:v>0</c:v>
                </c:pt>
              </c:numCache>
            </c:numRef>
          </c:val>
        </c:ser>
        <c:ser>
          <c:idx val="3"/>
          <c:order val="2"/>
          <c:tx>
            <c:strRef>
              <c:f>Summary_Ongoing!$P$5</c:f>
              <c:strCache>
                <c:ptCount val="1"/>
                <c:pt idx="0">
                  <c:v>Major New Ongoing Spend/Yr</c:v>
                </c:pt>
              </c:strCache>
            </c:strRef>
          </c:tx>
          <c:spPr>
            <a:solidFill>
              <a:srgbClr val="EEA632"/>
            </a:solidFill>
            <a:ln>
              <a:noFill/>
            </a:ln>
            <a:effectLst/>
          </c:spPr>
          <c:invertIfNegative val="0"/>
          <c:dLbls>
            <c:dLbl>
              <c:idx val="0"/>
              <c:layout>
                <c:manualLayout>
                  <c:x val="0"/>
                  <c:y val="-3.373053294734338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Summary_Ongoing!$Q$2:$U$2</c:f>
              <c:strCache>
                <c:ptCount val="5"/>
                <c:pt idx="0">
                  <c:v>Development
(Releases/
Maintenance)</c:v>
                </c:pt>
                <c:pt idx="1">
                  <c:v>Development
Infrastructure</c:v>
                </c:pt>
                <c:pt idx="2">
                  <c:v>Community
Support</c:v>
                </c:pt>
                <c:pt idx="3">
                  <c:v>Overhead</c:v>
                </c:pt>
                <c:pt idx="4">
                  <c:v>Total</c:v>
                </c:pt>
              </c:strCache>
            </c:strRef>
          </c:cat>
          <c:val>
            <c:numRef>
              <c:f>Summary_Ongoing!$Q$5:$U$5</c:f>
              <c:numCache>
                <c:formatCode>_(* #,##0_);_(* \(#,##0\);_(* "-"??_);_(@_)</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overlap val="100"/>
        <c:axId val="86831104"/>
        <c:axId val="86832640"/>
        <c:extLst/>
      </c:barChart>
      <c:lineChart>
        <c:grouping val="standard"/>
        <c:varyColors val="0"/>
        <c:ser>
          <c:idx val="4"/>
          <c:order val="3"/>
          <c:tx>
            <c:v>Line1</c:v>
          </c:tx>
          <c:spPr>
            <a:ln w="12700" cap="rnd">
              <a:solidFill>
                <a:schemeClr val="bg1">
                  <a:lumMod val="65000"/>
                </a:schemeClr>
              </a:solidFill>
              <a:prstDash val="dash"/>
              <a:round/>
            </a:ln>
            <a:effectLst/>
          </c:spPr>
          <c:marker>
            <c:symbol val="none"/>
          </c:marker>
          <c:val>
            <c:numRef>
              <c:f>Summary_Ongoing!$V$3:$Z$3</c:f>
              <c:numCache>
                <c:formatCode>_(* #,##0_);_(* \(#,##0\);_(* "-"??_);_(@_)</c:formatCode>
                <c:ptCount val="5"/>
                <c:pt idx="0">
                  <c:v>0</c:v>
                </c:pt>
                <c:pt idx="1">
                  <c:v>0</c:v>
                </c:pt>
              </c:numCache>
            </c:numRef>
          </c:val>
          <c:smooth val="0"/>
        </c:ser>
        <c:ser>
          <c:idx val="5"/>
          <c:order val="4"/>
          <c:tx>
            <c:v>Line2</c:v>
          </c:tx>
          <c:spPr>
            <a:ln w="12700" cap="rnd">
              <a:solidFill>
                <a:schemeClr val="bg1">
                  <a:lumMod val="65000"/>
                </a:schemeClr>
              </a:solidFill>
              <a:prstDash val="dash"/>
              <a:round/>
            </a:ln>
            <a:effectLst/>
          </c:spPr>
          <c:marker>
            <c:symbol val="none"/>
          </c:marker>
          <c:val>
            <c:numRef>
              <c:f>Summary_Ongoing!$V$4:$Z$4</c:f>
              <c:numCache>
                <c:formatCode>_(* #,##0_);_(* \(#,##0\);_(* "-"??_);_(@_)</c:formatCode>
                <c:ptCount val="5"/>
                <c:pt idx="1">
                  <c:v>0</c:v>
                </c:pt>
                <c:pt idx="2">
                  <c:v>0</c:v>
                </c:pt>
              </c:numCache>
            </c:numRef>
          </c:val>
          <c:smooth val="0"/>
        </c:ser>
        <c:ser>
          <c:idx val="6"/>
          <c:order val="5"/>
          <c:tx>
            <c:v>Line 3</c:v>
          </c:tx>
          <c:spPr>
            <a:ln w="12700" cap="rnd">
              <a:solidFill>
                <a:schemeClr val="bg1">
                  <a:lumMod val="65000"/>
                </a:schemeClr>
              </a:solidFill>
              <a:prstDash val="dash"/>
              <a:round/>
            </a:ln>
            <a:effectLst/>
          </c:spPr>
          <c:marker>
            <c:symbol val="none"/>
          </c:marker>
          <c:val>
            <c:numRef>
              <c:f>Summary_Ongoing!$V$5:$Z$5</c:f>
              <c:numCache>
                <c:formatCode>_(* #,##0_);_(* \(#,##0\);_(* "-"??_);_(@_)</c:formatCode>
                <c:ptCount val="5"/>
                <c:pt idx="2">
                  <c:v>0</c:v>
                </c:pt>
                <c:pt idx="3">
                  <c:v>0</c:v>
                </c:pt>
              </c:numCache>
            </c:numRef>
          </c:val>
          <c:smooth val="0"/>
        </c:ser>
        <c:ser>
          <c:idx val="7"/>
          <c:order val="6"/>
          <c:tx>
            <c:v>Line 4</c:v>
          </c:tx>
          <c:spPr>
            <a:ln w="12700" cap="rnd">
              <a:solidFill>
                <a:schemeClr val="bg1">
                  <a:lumMod val="65000"/>
                </a:schemeClr>
              </a:solidFill>
              <a:prstDash val="dash"/>
              <a:round/>
            </a:ln>
            <a:effectLst/>
          </c:spPr>
          <c:marker>
            <c:symbol val="none"/>
          </c:marker>
          <c:val>
            <c:numRef>
              <c:f>Summary_Ongoing!$V$6:$Z$6</c:f>
              <c:numCache>
                <c:formatCode>_(* #,##0_);_(* \(#,##0\);_(* "-"??_);_(@_)</c:formatCode>
                <c:ptCount val="5"/>
                <c:pt idx="3">
                  <c:v>0</c:v>
                </c:pt>
                <c:pt idx="4">
                  <c:v>0</c:v>
                </c:pt>
              </c:numCache>
            </c:numRef>
          </c:val>
          <c:smooth val="0"/>
        </c:ser>
        <c:ser>
          <c:idx val="0"/>
          <c:order val="7"/>
          <c:tx>
            <c:strRef>
              <c:f>Summary_Ongoing!$P$6</c:f>
              <c:strCache>
                <c:ptCount val="1"/>
                <c:pt idx="0">
                  <c:v>Total</c:v>
                </c:pt>
              </c:strCache>
            </c:strRef>
          </c:tx>
          <c:spPr>
            <a:ln w="28575" cap="rnd">
              <a:noFill/>
              <a:round/>
            </a:ln>
            <a:effectLst/>
          </c:spPr>
          <c:marker>
            <c:symbol val="none"/>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5.508953252364112E-2"/>
                  <c:y val="-7.4365933361660044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numFmt formatCode="&quot;$&quot;#,##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Summary_Ongoing!$Q$6:$U$6</c:f>
              <c:numCache>
                <c:formatCode>_(* #,##0_);_(* \(#,##0\);_(* "-"??_);_(@_)</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6831104"/>
        <c:axId val="86832640"/>
      </c:lineChart>
      <c:catAx>
        <c:axId val="8683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6832640"/>
        <c:crosses val="autoZero"/>
        <c:auto val="1"/>
        <c:lblAlgn val="ctr"/>
        <c:lblOffset val="100"/>
        <c:noMultiLvlLbl val="0"/>
      </c:catAx>
      <c:valAx>
        <c:axId val="86832640"/>
        <c:scaling>
          <c:orientation val="minMax"/>
        </c:scaling>
        <c:delete val="0"/>
        <c:axPos val="l"/>
        <c:majorGridlines>
          <c:spPr>
            <a:ln w="6350" cap="flat" cmpd="sng" algn="ctr">
              <a:solidFill>
                <a:schemeClr val="tx1">
                  <a:lumMod val="15000"/>
                  <a:lumOff val="85000"/>
                </a:schemeClr>
              </a:solidFill>
              <a:prstDash val="sysDot"/>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Estimated Spend in Ongoing Development</a:t>
                </a:r>
              </a:p>
            </c:rich>
          </c:tx>
          <c:layout>
            <c:manualLayout>
              <c:xMode val="edge"/>
              <c:yMode val="edge"/>
              <c:x val="1.0149318494424816E-2"/>
              <c:y val="9.9945510559290573E-2"/>
            </c:manualLayout>
          </c:layout>
          <c:overlay val="0"/>
          <c:spPr>
            <a:noFill/>
            <a:ln>
              <a:noFill/>
            </a:ln>
            <a:effectLst/>
          </c:sp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6831104"/>
        <c:crosses val="autoZero"/>
        <c:crossBetween val="between"/>
      </c:valAx>
      <c:spPr>
        <a:noFill/>
        <a:ln>
          <a:noFill/>
        </a:ln>
        <a:effectLst/>
      </c:spPr>
    </c:plotArea>
    <c:legend>
      <c:legendPos val="b"/>
      <c:legendEntry>
        <c:idx val="0"/>
        <c:delete val="1"/>
      </c:legendEntry>
      <c:legendEntry>
        <c:idx val="3"/>
        <c:delete val="1"/>
      </c:legendEntry>
      <c:legendEntry>
        <c:idx val="4"/>
        <c:delete val="1"/>
      </c:legendEntry>
      <c:legendEntry>
        <c:idx val="5"/>
        <c:delete val="1"/>
      </c:legendEntry>
      <c:legendEntry>
        <c:idx val="6"/>
        <c:delete val="1"/>
      </c:legendEntry>
      <c:legendEntry>
        <c:idx val="7"/>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i="0" baseline="0">
                <a:effectLst/>
              </a:rPr>
              <a:t>Indirectly Paid or Free FTEs, Count by Year</a:t>
            </a:r>
          </a:p>
          <a:p>
            <a:pPr>
              <a:defRPr sz="1100" b="0" i="0" u="none" strike="noStrike" kern="1200" spc="0" baseline="0">
                <a:solidFill>
                  <a:schemeClr val="tx1">
                    <a:lumMod val="65000"/>
                    <a:lumOff val="35000"/>
                  </a:schemeClr>
                </a:solidFill>
                <a:latin typeface="+mn-lt"/>
                <a:ea typeface="+mn-ea"/>
                <a:cs typeface="+mn-cs"/>
              </a:defRPr>
            </a:pPr>
            <a:r>
              <a:rPr lang="en-US" sz="1100" b="0" i="0" baseline="0">
                <a:effectLst/>
              </a:rPr>
              <a:t>Results of </a:t>
            </a:r>
            <a:r>
              <a:rPr lang="en-US" sz="1100" b="0" i="0" u="none" strike="noStrike" baseline="0">
                <a:effectLst/>
              </a:rPr>
              <a:t>Historical FTE-based cost estimate</a:t>
            </a:r>
            <a:endParaRPr lang="en-US" sz="1100">
              <a:effectLst/>
            </a:endParaRPr>
          </a:p>
        </c:rich>
      </c:tx>
      <c:layout>
        <c:manualLayout>
          <c:xMode val="edge"/>
          <c:yMode val="edge"/>
          <c:x val="0.24174865122183434"/>
          <c:y val="1.7993498254843192E-2"/>
        </c:manualLayout>
      </c:layout>
      <c:overlay val="0"/>
      <c:spPr>
        <a:noFill/>
        <a:ln>
          <a:noFill/>
        </a:ln>
        <a:effectLst/>
      </c:spPr>
    </c:title>
    <c:autoTitleDeleted val="0"/>
    <c:plotArea>
      <c:layout>
        <c:manualLayout>
          <c:layoutTarget val="inner"/>
          <c:xMode val="edge"/>
          <c:yMode val="edge"/>
          <c:x val="0.10250897292036033"/>
          <c:y val="0.15632990594851803"/>
          <c:w val="0.871893375980205"/>
          <c:h val="0.52368022294936101"/>
        </c:manualLayout>
      </c:layout>
      <c:barChart>
        <c:barDir val="col"/>
        <c:grouping val="stacked"/>
        <c:varyColors val="0"/>
        <c:ser>
          <c:idx val="1"/>
          <c:order val="0"/>
          <c:tx>
            <c:strRef>
              <c:f>Historical_FTE!$B$64</c:f>
              <c:strCache>
                <c:ptCount val="1"/>
                <c:pt idx="0">
                  <c:v>Senior Developer</c:v>
                </c:pt>
              </c:strCache>
            </c:strRef>
          </c:tx>
          <c:spPr>
            <a:solidFill>
              <a:schemeClr val="tx2"/>
            </a:solidFill>
            <a:ln>
              <a:noFill/>
            </a:ln>
            <a:effectLst/>
          </c:spPr>
          <c:invertIfNegative val="0"/>
          <c:cat>
            <c:strRef>
              <c:f>Historical_FTE!$D$62:$M$62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Historical_FTE!$C$62:$M$62</c15:sqref>
                  </c15:fullRef>
                </c:ext>
              </c:extLst>
            </c:strRef>
          </c:cat>
          <c:val>
            <c:numRef>
              <c:f>Historical_FTE!$D$64:$M$64</c:f>
              <c:numCache>
                <c:formatCode>#,##0.0_);\(#,##0.0\)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Historical_FTE!$C$64:$M$64</c15:sqref>
                  </c15:fullRef>
                </c:ext>
              </c:extLst>
            </c:numRef>
          </c:val>
        </c:ser>
        <c:ser>
          <c:idx val="2"/>
          <c:order val="1"/>
          <c:tx>
            <c:strRef>
              <c:f>Historical_FTE!$B$65</c:f>
              <c:strCache>
                <c:ptCount val="1"/>
                <c:pt idx="0">
                  <c:v>Junior Developer</c:v>
                </c:pt>
              </c:strCache>
            </c:strRef>
          </c:tx>
          <c:spPr>
            <a:solidFill>
              <a:srgbClr val="7E9BC8"/>
            </a:solidFill>
            <a:ln>
              <a:noFill/>
            </a:ln>
            <a:effectLst/>
          </c:spPr>
          <c:invertIfNegative val="0"/>
          <c:cat>
            <c:strRef>
              <c:f>Historical_FTE!$D$62:$M$62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Historical_FTE!$C$62:$M$62</c15:sqref>
                  </c15:fullRef>
                </c:ext>
              </c:extLst>
            </c:strRef>
          </c:cat>
          <c:val>
            <c:numRef>
              <c:f>Historical_FTE!$D$65:$M$65</c:f>
              <c:numCache>
                <c:formatCode>#,##0.0_);\(#,##0.0\)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Historical_FTE!$C$65:$M$65</c15:sqref>
                  </c15:fullRef>
                </c:ext>
              </c:extLst>
            </c:numRef>
          </c:val>
        </c:ser>
        <c:ser>
          <c:idx val="3"/>
          <c:order val="2"/>
          <c:tx>
            <c:strRef>
              <c:f>Historical_FTE!$B$66</c:f>
              <c:strCache>
                <c:ptCount val="1"/>
                <c:pt idx="0">
                  <c:v>IT Personnel</c:v>
                </c:pt>
              </c:strCache>
            </c:strRef>
          </c:tx>
          <c:spPr>
            <a:solidFill>
              <a:srgbClr val="06C245"/>
            </a:solidFill>
            <a:ln>
              <a:noFill/>
            </a:ln>
            <a:effectLst/>
          </c:spPr>
          <c:invertIfNegative val="0"/>
          <c:cat>
            <c:strRef>
              <c:f>Historical_FTE!$D$62:$M$62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Historical_FTE!$C$62:$M$62</c15:sqref>
                  </c15:fullRef>
                </c:ext>
              </c:extLst>
            </c:strRef>
          </c:cat>
          <c:val>
            <c:numRef>
              <c:f>Historical_FTE!$D$66:$M$66</c:f>
              <c:numCache>
                <c:formatCode>#,##0.0_);\(#,##0.0\)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Historical_FTE!$C$66:$M$66</c15:sqref>
                  </c15:fullRef>
                </c:ext>
              </c:extLst>
            </c:numRef>
          </c:val>
        </c:ser>
        <c:ser>
          <c:idx val="4"/>
          <c:order val="3"/>
          <c:tx>
            <c:strRef>
              <c:f>Historical_FTE!$B$67</c:f>
              <c:strCache>
                <c:ptCount val="1"/>
                <c:pt idx="0">
                  <c:v>Role 1</c:v>
                </c:pt>
              </c:strCache>
            </c:strRef>
          </c:tx>
          <c:spPr>
            <a:solidFill>
              <a:srgbClr val="EEA632"/>
            </a:solidFill>
            <a:ln>
              <a:noFill/>
            </a:ln>
            <a:effectLst/>
          </c:spPr>
          <c:invertIfNegative val="0"/>
          <c:cat>
            <c:strRef>
              <c:f>Historical_FTE!$D$62:$M$62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Historical_FTE!$C$62:$M$62</c15:sqref>
                  </c15:fullRef>
                </c:ext>
              </c:extLst>
            </c:strRef>
          </c:cat>
          <c:val>
            <c:numRef>
              <c:f>Historical_FTE!$D$67:$M$67</c:f>
              <c:numCache>
                <c:formatCode>#,##0.0_);\(#,##0.0\)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Historical_FTE!$C$67:$M$67</c15:sqref>
                  </c15:fullRef>
                </c:ext>
              </c:extLst>
            </c:numRef>
          </c:val>
        </c:ser>
        <c:ser>
          <c:idx val="5"/>
          <c:order val="4"/>
          <c:tx>
            <c:strRef>
              <c:f>Historical_FTE!$B$68</c:f>
              <c:strCache>
                <c:ptCount val="1"/>
                <c:pt idx="0">
                  <c:v>Role 2</c:v>
                </c:pt>
              </c:strCache>
              <c:extLst xmlns:c15="http://schemas.microsoft.com/office/drawing/2012/chart"/>
            </c:strRef>
          </c:tx>
          <c:spPr>
            <a:solidFill>
              <a:srgbClr val="FEEC00"/>
            </a:solidFill>
            <a:ln>
              <a:noFill/>
            </a:ln>
            <a:effectLst/>
          </c:spPr>
          <c:invertIfNegative val="0"/>
          <c:cat>
            <c:strRef>
              <c:f>Historical_FTE!$D$62:$M$62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Historical_FTE!$C$62:$M$62</c15:sqref>
                  </c15:fullRef>
                </c:ext>
              </c:extLst>
            </c:strRef>
          </c:cat>
          <c:val>
            <c:numRef>
              <c:f>Historical_FTE!$D$68:$M$68</c:f>
              <c:numCache>
                <c:formatCode>#,##0.0_);\(#,##0.0\)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Historical_FTE!$C$68:$M$68</c15:sqref>
                  </c15:fullRef>
                </c:ext>
              </c:extLst>
            </c:numRef>
          </c:val>
        </c:ser>
        <c:ser>
          <c:idx val="6"/>
          <c:order val="5"/>
          <c:tx>
            <c:strRef>
              <c:f>Historical_FTE!$B$69</c:f>
              <c:strCache>
                <c:ptCount val="1"/>
                <c:pt idx="0">
                  <c:v>Role 3</c:v>
                </c:pt>
              </c:strCache>
              <c:extLst xmlns:c15="http://schemas.microsoft.com/office/drawing/2012/chart"/>
            </c:strRef>
          </c:tx>
          <c:spPr>
            <a:solidFill>
              <a:srgbClr val="DC6E00"/>
            </a:solidFill>
            <a:ln>
              <a:noFill/>
            </a:ln>
            <a:effectLst/>
          </c:spPr>
          <c:invertIfNegative val="0"/>
          <c:cat>
            <c:strRef>
              <c:f>Historical_FTE!$D$62:$M$62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Historical_FTE!$C$62:$M$62</c15:sqref>
                  </c15:fullRef>
                </c:ext>
              </c:extLst>
            </c:strRef>
          </c:cat>
          <c:val>
            <c:numRef>
              <c:f>Historical_FTE!$D$69:$M$69</c:f>
              <c:numCache>
                <c:formatCode>#,##0.0_);\(#,##0.0\)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Historical_FTE!$C$69:$M$69</c15:sqref>
                  </c15:fullRef>
                </c:ext>
              </c:extLst>
            </c:numRef>
          </c:val>
        </c:ser>
        <c:ser>
          <c:idx val="7"/>
          <c:order val="6"/>
          <c:tx>
            <c:strRef>
              <c:f>Historical_FTE!$B$70</c:f>
              <c:strCache>
                <c:ptCount val="1"/>
                <c:pt idx="0">
                  <c:v>Role 4</c:v>
                </c:pt>
              </c:strCache>
              <c:extLst xmlns:c15="http://schemas.microsoft.com/office/drawing/2012/chart"/>
            </c:strRef>
          </c:tx>
          <c:spPr>
            <a:solidFill>
              <a:srgbClr val="177B39"/>
            </a:solidFill>
            <a:ln>
              <a:noFill/>
            </a:ln>
            <a:effectLst/>
          </c:spPr>
          <c:invertIfNegative val="0"/>
          <c:cat>
            <c:strRef>
              <c:f>Historical_FTE!$D$62:$M$62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Historical_FTE!$C$62:$M$62</c15:sqref>
                  </c15:fullRef>
                </c:ext>
              </c:extLst>
            </c:strRef>
          </c:cat>
          <c:val>
            <c:numRef>
              <c:f>Historical_FTE!$D$70:$M$70</c:f>
              <c:numCache>
                <c:formatCode>#,##0.0_);\(#,##0.0\)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Historical_FTE!$C$70:$M$70</c15:sqref>
                  </c15:fullRef>
                </c:ext>
              </c:extLst>
            </c:numRef>
          </c:val>
        </c:ser>
        <c:ser>
          <c:idx val="8"/>
          <c:order val="7"/>
          <c:tx>
            <c:strRef>
              <c:f>Historical_FTE!$B$71</c:f>
              <c:strCache>
                <c:ptCount val="1"/>
                <c:pt idx="0">
                  <c:v>Role 5</c:v>
                </c:pt>
              </c:strCache>
              <c:extLst xmlns:c15="http://schemas.microsoft.com/office/drawing/2012/chart"/>
            </c:strRef>
          </c:tx>
          <c:spPr>
            <a:solidFill>
              <a:schemeClr val="accent3">
                <a:lumMod val="60000"/>
              </a:schemeClr>
            </a:solidFill>
            <a:ln>
              <a:noFill/>
            </a:ln>
            <a:effectLst/>
          </c:spPr>
          <c:invertIfNegative val="0"/>
          <c:cat>
            <c:strRef>
              <c:f>Historical_FTE!$D$62:$M$62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Historical_FTE!$C$62:$M$62</c15:sqref>
                  </c15:fullRef>
                </c:ext>
              </c:extLst>
            </c:strRef>
          </c:cat>
          <c:val>
            <c:numRef>
              <c:f>Historical_FTE!$D$71:$M$71</c:f>
              <c:numCache>
                <c:formatCode>#,##0.0_);\(#,##0.0\)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Historical_FTE!$C$71:$M$71</c15:sqref>
                  </c15:fullRef>
                </c:ext>
              </c:extLst>
            </c:numRef>
          </c:val>
        </c:ser>
        <c:ser>
          <c:idx val="9"/>
          <c:order val="8"/>
          <c:tx>
            <c:strRef>
              <c:f>Historical_FTE!$B$72</c:f>
              <c:strCache>
                <c:ptCount val="1"/>
                <c:pt idx="0">
                  <c:v>Role 6</c:v>
                </c:pt>
              </c:strCache>
              <c:extLst xmlns:c15="http://schemas.microsoft.com/office/drawing/2012/chart"/>
            </c:strRef>
          </c:tx>
          <c:spPr>
            <a:solidFill>
              <a:schemeClr val="accent4">
                <a:lumMod val="60000"/>
              </a:schemeClr>
            </a:solidFill>
            <a:ln>
              <a:noFill/>
            </a:ln>
            <a:effectLst/>
          </c:spPr>
          <c:invertIfNegative val="0"/>
          <c:cat>
            <c:strRef>
              <c:f>Historical_FTE!$D$62:$M$62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Historical_FTE!$C$62:$M$62</c15:sqref>
                  </c15:fullRef>
                </c:ext>
              </c:extLst>
            </c:strRef>
          </c:cat>
          <c:val>
            <c:numRef>
              <c:f>Historical_FTE!$D$72:$M$72</c:f>
              <c:numCache>
                <c:formatCode>#,##0.0_);\(#,##0.0\)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Historical_FTE!$C$72:$M$72</c15:sqref>
                  </c15:fullRef>
                </c:ext>
              </c:extLst>
            </c:numRef>
          </c:val>
        </c:ser>
        <c:ser>
          <c:idx val="10"/>
          <c:order val="9"/>
          <c:tx>
            <c:strRef>
              <c:f>Historical_FTE!$B$73</c:f>
              <c:strCache>
                <c:ptCount val="1"/>
                <c:pt idx="0">
                  <c:v>Role 7</c:v>
                </c:pt>
              </c:strCache>
              <c:extLst xmlns:c15="http://schemas.microsoft.com/office/drawing/2012/chart"/>
            </c:strRef>
          </c:tx>
          <c:spPr>
            <a:solidFill>
              <a:schemeClr val="accent5">
                <a:lumMod val="60000"/>
              </a:schemeClr>
            </a:solidFill>
            <a:ln>
              <a:noFill/>
            </a:ln>
            <a:effectLst/>
          </c:spPr>
          <c:invertIfNegative val="0"/>
          <c:cat>
            <c:strRef>
              <c:f>Historical_FTE!$D$62:$M$62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Historical_FTE!$C$62:$M$62</c15:sqref>
                  </c15:fullRef>
                </c:ext>
              </c:extLst>
            </c:strRef>
          </c:cat>
          <c:val>
            <c:numRef>
              <c:f>Historical_FTE!$D$73:$M$73</c:f>
              <c:numCache>
                <c:formatCode>#,##0.0_);\(#,##0.0\)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Historical_FTE!$C$73:$M$73</c15:sqref>
                  </c15:fullRef>
                </c:ext>
              </c:extLst>
            </c:numRef>
          </c:val>
        </c:ser>
        <c:ser>
          <c:idx val="11"/>
          <c:order val="10"/>
          <c:tx>
            <c:strRef>
              <c:f>Historical_FTE!$B$74</c:f>
              <c:strCache>
                <c:ptCount val="1"/>
                <c:pt idx="0">
                  <c:v>Role 8</c:v>
                </c:pt>
              </c:strCache>
              <c:extLst xmlns:c15="http://schemas.microsoft.com/office/drawing/2012/chart"/>
            </c:strRef>
          </c:tx>
          <c:spPr>
            <a:solidFill>
              <a:schemeClr val="accent6">
                <a:lumMod val="60000"/>
              </a:schemeClr>
            </a:solidFill>
            <a:ln>
              <a:noFill/>
            </a:ln>
            <a:effectLst/>
          </c:spPr>
          <c:invertIfNegative val="0"/>
          <c:cat>
            <c:strRef>
              <c:f>Historical_FTE!$D$62:$M$62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Historical_FTE!$C$62:$M$62</c15:sqref>
                  </c15:fullRef>
                </c:ext>
              </c:extLst>
            </c:strRef>
          </c:cat>
          <c:val>
            <c:numRef>
              <c:f>Historical_FTE!$D$74:$M$74</c:f>
              <c:numCache>
                <c:formatCode>#,##0.0_);\(#,##0.0\)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Historical_FTE!$C$74:$M$74</c15:sqref>
                  </c15:fullRef>
                </c:ext>
              </c:extLst>
            </c:numRef>
          </c:val>
        </c:ser>
        <c:ser>
          <c:idx val="12"/>
          <c:order val="11"/>
          <c:tx>
            <c:strRef>
              <c:f>Historical_FTE!$B$75</c:f>
              <c:strCache>
                <c:ptCount val="1"/>
                <c:pt idx="0">
                  <c:v>Role 9</c:v>
                </c:pt>
              </c:strCache>
              <c:extLst xmlns:c15="http://schemas.microsoft.com/office/drawing/2012/chart"/>
            </c:strRef>
          </c:tx>
          <c:spPr>
            <a:solidFill>
              <a:schemeClr val="accent1">
                <a:lumMod val="80000"/>
                <a:lumOff val="20000"/>
              </a:schemeClr>
            </a:solidFill>
            <a:ln>
              <a:noFill/>
            </a:ln>
            <a:effectLst/>
          </c:spPr>
          <c:invertIfNegative val="0"/>
          <c:cat>
            <c:strRef>
              <c:f>Historical_FTE!$D$62:$M$62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Historical_FTE!$C$62:$M$62</c15:sqref>
                  </c15:fullRef>
                </c:ext>
              </c:extLst>
            </c:strRef>
          </c:cat>
          <c:val>
            <c:numRef>
              <c:f>Historical_FTE!$D$75:$M$75</c:f>
              <c:numCache>
                <c:formatCode>#,##0.0_);\(#,##0.0\)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Historical_FTE!$C$75:$M$75</c15:sqref>
                  </c15:fullRef>
                </c:ext>
              </c:extLst>
            </c:numRef>
          </c:val>
        </c:ser>
        <c:ser>
          <c:idx val="13"/>
          <c:order val="12"/>
          <c:tx>
            <c:strRef>
              <c:f>Historical_FTE!$B$76</c:f>
              <c:strCache>
                <c:ptCount val="1"/>
                <c:pt idx="0">
                  <c:v>Role 10</c:v>
                </c:pt>
              </c:strCache>
              <c:extLst xmlns:c15="http://schemas.microsoft.com/office/drawing/2012/chart"/>
            </c:strRef>
          </c:tx>
          <c:spPr>
            <a:solidFill>
              <a:schemeClr val="accent2">
                <a:lumMod val="80000"/>
                <a:lumOff val="20000"/>
              </a:schemeClr>
            </a:solidFill>
            <a:ln>
              <a:noFill/>
            </a:ln>
            <a:effectLst/>
          </c:spPr>
          <c:invertIfNegative val="0"/>
          <c:cat>
            <c:strRef>
              <c:f>Historical_FTE!$D$62:$M$62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Historical_FTE!$C$62:$M$62</c15:sqref>
                  </c15:fullRef>
                </c:ext>
              </c:extLst>
            </c:strRef>
          </c:cat>
          <c:val>
            <c:numRef>
              <c:f>Historical_FTE!$D$76:$M$76</c:f>
              <c:numCache>
                <c:formatCode>#,##0.0_);\(#,##0.0\)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Historical_FTE!$C$76:$M$76</c15:sqref>
                  </c15:fullRef>
                </c:ext>
              </c:extLst>
            </c:numRef>
          </c:val>
        </c:ser>
        <c:dLbls>
          <c:showLegendKey val="0"/>
          <c:showVal val="0"/>
          <c:showCatName val="0"/>
          <c:showSerName val="0"/>
          <c:showPercent val="0"/>
          <c:showBubbleSize val="0"/>
        </c:dLbls>
        <c:gapWidth val="150"/>
        <c:overlap val="100"/>
        <c:axId val="87216896"/>
        <c:axId val="87218432"/>
        <c:extLst>
          <c:ext xmlns:c15="http://schemas.microsoft.com/office/drawing/2012/chart" uri="{02D57815-91ED-43cb-92C2-25804820EDAC}">
            <c15:filteredBarSeries>
              <c15:ser>
                <c:idx val="0"/>
                <c:order val="0"/>
                <c:tx>
                  <c:strRef>
                    <c:extLst>
                      <c:ext uri="{02D57815-91ED-43cb-92C2-25804820EDAC}">
                        <c15:formulaRef>
                          <c15:sqref>Historical_FTE!$B$63</c15:sqref>
                        </c15:formulaRef>
                      </c:ext>
                    </c:extLst>
                    <c:strCache>
                      <c:ptCount val="1"/>
                    </c:strCache>
                  </c:strRef>
                </c:tx>
                <c:spPr>
                  <a:solidFill>
                    <a:schemeClr val="accent1"/>
                  </a:solidFill>
                  <a:ln>
                    <a:noFill/>
                  </a:ln>
                  <a:effectLst/>
                </c:spPr>
                <c:invertIfNegative val="0"/>
                <c:cat>
                  <c:strRef>
                    <c:extLst>
                      <c:ext uri="{02D57815-91ED-43cb-92C2-25804820EDAC}">
                        <c15:fullRef>
                          <c15:sqref>Historical_FTE!$C$62:$M$62</c15:sqref>
                        </c15:fullRef>
                        <c15:formulaRef>
                          <c15:sqref>Historical_FTE!$D$62:$M$62</c15:sqref>
                        </c15:formulaRef>
                      </c:ext>
                    </c:extLst>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strRef>
                </c:cat>
                <c:val>
                  <c:numRef>
                    <c:extLst>
                      <c:ext uri="{02D57815-91ED-43cb-92C2-25804820EDAC}">
                        <c15:fullRef>
                          <c15:sqref>Historical_FTE!$C$63:$M$63</c15:sqref>
                        </c15:fullRef>
                        <c15:formulaRef>
                          <c15:sqref>Historical_FTE!$D$63:$M$63</c15:sqref>
                        </c15:formulaRef>
                      </c:ext>
                    </c:extLst>
                    <c:numCache>
                      <c:formatCode>General</c:formatCode>
                      <c:ptCount val="10"/>
                      <c:pt idx="0">
                        <c:v>0</c:v>
                      </c:pt>
                    </c:numCache>
                  </c:numRef>
                </c:val>
              </c15:ser>
            </c15:filteredBarSeries>
          </c:ext>
        </c:extLst>
      </c:barChart>
      <c:catAx>
        <c:axId val="8721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218432"/>
        <c:crosses val="autoZero"/>
        <c:auto val="1"/>
        <c:lblAlgn val="ctr"/>
        <c:lblOffset val="100"/>
        <c:noMultiLvlLbl val="0"/>
      </c:catAx>
      <c:valAx>
        <c:axId val="87218432"/>
        <c:scaling>
          <c:orientation val="minMax"/>
        </c:scaling>
        <c:delete val="0"/>
        <c:axPos val="l"/>
        <c:majorGridlines>
          <c:spPr>
            <a:ln w="3175" cap="flat" cmpd="sng" algn="ctr">
              <a:solidFill>
                <a:srgbClr val="D9D9D9"/>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Avg. Number of FTEs</a:t>
                </a:r>
              </a:p>
            </c:rich>
          </c:tx>
          <c:layout>
            <c:manualLayout>
              <c:xMode val="edge"/>
              <c:yMode val="edge"/>
              <c:x val="4.6541183817153985E-3"/>
              <c:y val="0.28916447444621268"/>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216896"/>
        <c:crosses val="autoZero"/>
        <c:crossBetween val="between"/>
      </c:valAx>
      <c:spPr>
        <a:noFill/>
        <a:ln>
          <a:noFill/>
        </a:ln>
        <a:effectLst/>
      </c:spPr>
    </c:plotArea>
    <c:legend>
      <c:legendPos val="b"/>
      <c:layout>
        <c:manualLayout>
          <c:xMode val="edge"/>
          <c:yMode val="edge"/>
          <c:x val="4.1452803208483241E-2"/>
          <c:y val="0.8073271791791139"/>
          <c:w val="0.92640263034646442"/>
          <c:h val="0.165682573438621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i="0" u="none" strike="noStrike" baseline="0">
                <a:effectLst/>
              </a:rPr>
              <a:t>Indirectly Paid or Free </a:t>
            </a:r>
            <a:r>
              <a:rPr lang="en-US" sz="1100" b="1" i="0" baseline="0">
                <a:effectLst/>
              </a:rPr>
              <a:t>FTEs, Labor Value by Year</a:t>
            </a:r>
            <a:endParaRPr lang="en-US" sz="1100" b="1">
              <a:effectLst/>
            </a:endParaRPr>
          </a:p>
          <a:p>
            <a:pPr>
              <a:defRPr sz="1100" b="0" i="0" u="none" strike="noStrike" kern="1200" spc="0" baseline="0">
                <a:solidFill>
                  <a:schemeClr val="tx1">
                    <a:lumMod val="65000"/>
                    <a:lumOff val="35000"/>
                  </a:schemeClr>
                </a:solidFill>
                <a:latin typeface="+mn-lt"/>
                <a:ea typeface="+mn-ea"/>
                <a:cs typeface="+mn-cs"/>
              </a:defRPr>
            </a:pPr>
            <a:r>
              <a:rPr lang="en-US" sz="1100" b="0" i="0" baseline="0">
                <a:effectLst/>
              </a:rPr>
              <a:t>Results of Historical FTE-based cost estimate</a:t>
            </a:r>
            <a:endParaRPr lang="en-US" sz="1100">
              <a:effectLst/>
            </a:endParaRPr>
          </a:p>
        </c:rich>
      </c:tx>
      <c:layout>
        <c:manualLayout>
          <c:xMode val="edge"/>
          <c:yMode val="edge"/>
          <c:x val="0.26382089926362318"/>
          <c:y val="1.3495123691132394E-2"/>
        </c:manualLayout>
      </c:layout>
      <c:overlay val="0"/>
      <c:spPr>
        <a:noFill/>
        <a:ln>
          <a:noFill/>
        </a:ln>
        <a:effectLst/>
      </c:spPr>
    </c:title>
    <c:autoTitleDeleted val="0"/>
    <c:plotArea>
      <c:layout>
        <c:manualLayout>
          <c:layoutTarget val="inner"/>
          <c:xMode val="edge"/>
          <c:yMode val="edge"/>
          <c:x val="0.15176497661128038"/>
          <c:y val="0.15632990594851803"/>
          <c:w val="0.82263745120578213"/>
          <c:h val="0.52368022294936101"/>
        </c:manualLayout>
      </c:layout>
      <c:barChart>
        <c:barDir val="col"/>
        <c:grouping val="stacked"/>
        <c:varyColors val="0"/>
        <c:ser>
          <c:idx val="1"/>
          <c:order val="0"/>
          <c:tx>
            <c:strRef>
              <c:f>Historical_FTE!$B$110</c:f>
              <c:strCache>
                <c:ptCount val="1"/>
                <c:pt idx="0">
                  <c:v>Senior Developer</c:v>
                </c:pt>
              </c:strCache>
            </c:strRef>
          </c:tx>
          <c:spPr>
            <a:solidFill>
              <a:schemeClr val="tx2"/>
            </a:solidFill>
            <a:ln>
              <a:noFill/>
            </a:ln>
            <a:effectLst/>
          </c:spPr>
          <c:invertIfNegative val="0"/>
          <c:cat>
            <c:strRef>
              <c:f>Historical_FTE!$D$108:$M$108</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Historical_FTE!$C$108:$M$108</c15:sqref>
                  </c15:fullRef>
                </c:ext>
              </c:extLst>
            </c:strRef>
          </c:cat>
          <c:val>
            <c:numRef>
              <c:f>Historical_FTE!$D$110:$M$110</c:f>
              <c:numCache>
                <c:formatCode>_([$$-409]* #,##0_);_([$$-409]* \(#,##0\);_([$$-409]*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Historical_FTE!$C$110:$M$110</c15:sqref>
                  </c15:fullRef>
                </c:ext>
              </c:extLst>
            </c:numRef>
          </c:val>
        </c:ser>
        <c:ser>
          <c:idx val="2"/>
          <c:order val="1"/>
          <c:tx>
            <c:strRef>
              <c:f>Historical_FTE!$B$111</c:f>
              <c:strCache>
                <c:ptCount val="1"/>
                <c:pt idx="0">
                  <c:v>Junior Developer</c:v>
                </c:pt>
              </c:strCache>
            </c:strRef>
          </c:tx>
          <c:spPr>
            <a:solidFill>
              <a:srgbClr val="7E9BC8"/>
            </a:solidFill>
            <a:ln>
              <a:noFill/>
            </a:ln>
            <a:effectLst/>
          </c:spPr>
          <c:invertIfNegative val="0"/>
          <c:cat>
            <c:strRef>
              <c:f>Historical_FTE!$D$108:$M$108</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Historical_FTE!$C$108:$M$108</c15:sqref>
                  </c15:fullRef>
                </c:ext>
              </c:extLst>
            </c:strRef>
          </c:cat>
          <c:val>
            <c:numRef>
              <c:f>Historical_FTE!$D$111:$M$111</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Historical_FTE!$C$111:$M$111</c15:sqref>
                  </c15:fullRef>
                </c:ext>
              </c:extLst>
            </c:numRef>
          </c:val>
        </c:ser>
        <c:ser>
          <c:idx val="3"/>
          <c:order val="2"/>
          <c:tx>
            <c:strRef>
              <c:f>Historical_FTE!$B$112</c:f>
              <c:strCache>
                <c:ptCount val="1"/>
                <c:pt idx="0">
                  <c:v>IT Personnel</c:v>
                </c:pt>
              </c:strCache>
            </c:strRef>
          </c:tx>
          <c:spPr>
            <a:solidFill>
              <a:srgbClr val="06C245"/>
            </a:solidFill>
            <a:ln>
              <a:noFill/>
            </a:ln>
            <a:effectLst/>
          </c:spPr>
          <c:invertIfNegative val="0"/>
          <c:cat>
            <c:strRef>
              <c:f>Historical_FTE!$D$108:$M$108</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Historical_FTE!$C$108:$M$108</c15:sqref>
                  </c15:fullRef>
                </c:ext>
              </c:extLst>
            </c:strRef>
          </c:cat>
          <c:val>
            <c:numRef>
              <c:f>Historical_FTE!$D$112:$M$112</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Historical_FTE!$C$112:$M$112</c15:sqref>
                  </c15:fullRef>
                </c:ext>
              </c:extLst>
            </c:numRef>
          </c:val>
        </c:ser>
        <c:ser>
          <c:idx val="4"/>
          <c:order val="3"/>
          <c:tx>
            <c:strRef>
              <c:f>Historical_FTE!$B$113</c:f>
              <c:strCache>
                <c:ptCount val="1"/>
                <c:pt idx="0">
                  <c:v>Role 1</c:v>
                </c:pt>
              </c:strCache>
            </c:strRef>
          </c:tx>
          <c:spPr>
            <a:solidFill>
              <a:srgbClr val="EEA632"/>
            </a:solidFill>
            <a:ln>
              <a:noFill/>
            </a:ln>
            <a:effectLst/>
          </c:spPr>
          <c:invertIfNegative val="0"/>
          <c:cat>
            <c:strRef>
              <c:f>Historical_FTE!$D$108:$M$108</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Historical_FTE!$C$108:$M$108</c15:sqref>
                  </c15:fullRef>
                </c:ext>
              </c:extLst>
            </c:strRef>
          </c:cat>
          <c:val>
            <c:numRef>
              <c:f>Historical_FTE!$D$113:$M$113</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Historical_FTE!$C$113:$M$113</c15:sqref>
                  </c15:fullRef>
                </c:ext>
              </c:extLst>
            </c:numRef>
          </c:val>
        </c:ser>
        <c:ser>
          <c:idx val="5"/>
          <c:order val="4"/>
          <c:tx>
            <c:strRef>
              <c:f>Historical_FTE!$B$114</c:f>
              <c:strCache>
                <c:ptCount val="1"/>
                <c:pt idx="0">
                  <c:v>Role 2</c:v>
                </c:pt>
              </c:strCache>
              <c:extLst xmlns:c15="http://schemas.microsoft.com/office/drawing/2012/chart"/>
            </c:strRef>
          </c:tx>
          <c:spPr>
            <a:solidFill>
              <a:srgbClr val="FEEC00"/>
            </a:solidFill>
            <a:ln>
              <a:noFill/>
            </a:ln>
            <a:effectLst/>
          </c:spPr>
          <c:invertIfNegative val="0"/>
          <c:cat>
            <c:strRef>
              <c:f>Historical_FTE!$D$108:$M$108</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Historical_FTE!$C$108:$M$108</c15:sqref>
                  </c15:fullRef>
                </c:ext>
              </c:extLst>
            </c:strRef>
          </c:cat>
          <c:val>
            <c:numRef>
              <c:f>Historical_FTE!$D$114:$M$114</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Historical_FTE!$C$114:$M$114</c15:sqref>
                  </c15:fullRef>
                </c:ext>
              </c:extLst>
            </c:numRef>
          </c:val>
        </c:ser>
        <c:ser>
          <c:idx val="6"/>
          <c:order val="5"/>
          <c:tx>
            <c:strRef>
              <c:f>Historical_FTE!$B$115</c:f>
              <c:strCache>
                <c:ptCount val="1"/>
                <c:pt idx="0">
                  <c:v>Role 3</c:v>
                </c:pt>
              </c:strCache>
              <c:extLst xmlns:c15="http://schemas.microsoft.com/office/drawing/2012/chart"/>
            </c:strRef>
          </c:tx>
          <c:spPr>
            <a:solidFill>
              <a:srgbClr val="DC6E00"/>
            </a:solidFill>
            <a:ln>
              <a:noFill/>
            </a:ln>
            <a:effectLst/>
          </c:spPr>
          <c:invertIfNegative val="0"/>
          <c:cat>
            <c:strRef>
              <c:f>Historical_FTE!$D$108:$M$108</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Historical_FTE!$C$108:$M$108</c15:sqref>
                  </c15:fullRef>
                </c:ext>
              </c:extLst>
            </c:strRef>
          </c:cat>
          <c:val>
            <c:numRef>
              <c:f>Historical_FTE!$D$115:$M$115</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Historical_FTE!$C$115:$M$115</c15:sqref>
                  </c15:fullRef>
                </c:ext>
              </c:extLst>
            </c:numRef>
          </c:val>
        </c:ser>
        <c:ser>
          <c:idx val="7"/>
          <c:order val="6"/>
          <c:tx>
            <c:strRef>
              <c:f>Historical_FTE!$B$116</c:f>
              <c:strCache>
                <c:ptCount val="1"/>
                <c:pt idx="0">
                  <c:v>Role 4</c:v>
                </c:pt>
              </c:strCache>
              <c:extLst xmlns:c15="http://schemas.microsoft.com/office/drawing/2012/chart"/>
            </c:strRef>
          </c:tx>
          <c:spPr>
            <a:solidFill>
              <a:srgbClr val="177B39"/>
            </a:solidFill>
            <a:ln>
              <a:noFill/>
            </a:ln>
            <a:effectLst/>
          </c:spPr>
          <c:invertIfNegative val="0"/>
          <c:cat>
            <c:strRef>
              <c:f>Historical_FTE!$D$108:$M$108</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Historical_FTE!$C$108:$M$108</c15:sqref>
                  </c15:fullRef>
                </c:ext>
              </c:extLst>
            </c:strRef>
          </c:cat>
          <c:val>
            <c:numRef>
              <c:f>Historical_FTE!$D$116:$M$116</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Historical_FTE!$C$116:$M$116</c15:sqref>
                  </c15:fullRef>
                </c:ext>
              </c:extLst>
            </c:numRef>
          </c:val>
        </c:ser>
        <c:ser>
          <c:idx val="8"/>
          <c:order val="7"/>
          <c:tx>
            <c:strRef>
              <c:f>Historical_FTE!$B$117</c:f>
              <c:strCache>
                <c:ptCount val="1"/>
                <c:pt idx="0">
                  <c:v>Role 5</c:v>
                </c:pt>
              </c:strCache>
              <c:extLst xmlns:c15="http://schemas.microsoft.com/office/drawing/2012/chart"/>
            </c:strRef>
          </c:tx>
          <c:spPr>
            <a:solidFill>
              <a:schemeClr val="accent3">
                <a:lumMod val="60000"/>
              </a:schemeClr>
            </a:solidFill>
            <a:ln>
              <a:noFill/>
            </a:ln>
            <a:effectLst/>
          </c:spPr>
          <c:invertIfNegative val="0"/>
          <c:cat>
            <c:strRef>
              <c:f>Historical_FTE!$D$108:$M$108</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Historical_FTE!$C$108:$M$108</c15:sqref>
                  </c15:fullRef>
                </c:ext>
              </c:extLst>
            </c:strRef>
          </c:cat>
          <c:val>
            <c:numRef>
              <c:f>Historical_FTE!$D$117:$M$117</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Historical_FTE!$C$117:$M$117</c15:sqref>
                  </c15:fullRef>
                </c:ext>
              </c:extLst>
            </c:numRef>
          </c:val>
        </c:ser>
        <c:ser>
          <c:idx val="9"/>
          <c:order val="8"/>
          <c:tx>
            <c:strRef>
              <c:f>Historical_FTE!$B$118</c:f>
              <c:strCache>
                <c:ptCount val="1"/>
                <c:pt idx="0">
                  <c:v>Role 6</c:v>
                </c:pt>
              </c:strCache>
              <c:extLst xmlns:c15="http://schemas.microsoft.com/office/drawing/2012/chart"/>
            </c:strRef>
          </c:tx>
          <c:spPr>
            <a:solidFill>
              <a:schemeClr val="accent4">
                <a:lumMod val="60000"/>
              </a:schemeClr>
            </a:solidFill>
            <a:ln>
              <a:noFill/>
            </a:ln>
            <a:effectLst/>
          </c:spPr>
          <c:invertIfNegative val="0"/>
          <c:cat>
            <c:strRef>
              <c:f>Historical_FTE!$D$108:$M$108</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Historical_FTE!$C$108:$M$108</c15:sqref>
                  </c15:fullRef>
                </c:ext>
              </c:extLst>
            </c:strRef>
          </c:cat>
          <c:val>
            <c:numRef>
              <c:f>Historical_FTE!$D$118:$M$118</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Historical_FTE!$C$118:$M$118</c15:sqref>
                  </c15:fullRef>
                </c:ext>
              </c:extLst>
            </c:numRef>
          </c:val>
        </c:ser>
        <c:ser>
          <c:idx val="10"/>
          <c:order val="9"/>
          <c:tx>
            <c:strRef>
              <c:f>Historical_FTE!$B$119</c:f>
              <c:strCache>
                <c:ptCount val="1"/>
                <c:pt idx="0">
                  <c:v>Role 7</c:v>
                </c:pt>
              </c:strCache>
              <c:extLst xmlns:c15="http://schemas.microsoft.com/office/drawing/2012/chart"/>
            </c:strRef>
          </c:tx>
          <c:spPr>
            <a:solidFill>
              <a:schemeClr val="accent5">
                <a:lumMod val="60000"/>
              </a:schemeClr>
            </a:solidFill>
            <a:ln>
              <a:noFill/>
            </a:ln>
            <a:effectLst/>
          </c:spPr>
          <c:invertIfNegative val="0"/>
          <c:cat>
            <c:strRef>
              <c:f>Historical_FTE!$D$108:$M$108</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Historical_FTE!$C$108:$M$108</c15:sqref>
                  </c15:fullRef>
                </c:ext>
              </c:extLst>
            </c:strRef>
          </c:cat>
          <c:val>
            <c:numRef>
              <c:f>Historical_FTE!$D$119:$M$119</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Historical_FTE!$C$119:$M$119</c15:sqref>
                  </c15:fullRef>
                </c:ext>
              </c:extLst>
            </c:numRef>
          </c:val>
        </c:ser>
        <c:ser>
          <c:idx val="11"/>
          <c:order val="10"/>
          <c:tx>
            <c:strRef>
              <c:f>Historical_FTE!$B$120</c:f>
              <c:strCache>
                <c:ptCount val="1"/>
                <c:pt idx="0">
                  <c:v>Role 8</c:v>
                </c:pt>
              </c:strCache>
              <c:extLst xmlns:c15="http://schemas.microsoft.com/office/drawing/2012/chart"/>
            </c:strRef>
          </c:tx>
          <c:spPr>
            <a:solidFill>
              <a:schemeClr val="accent6">
                <a:lumMod val="60000"/>
              </a:schemeClr>
            </a:solidFill>
            <a:ln>
              <a:noFill/>
            </a:ln>
            <a:effectLst/>
          </c:spPr>
          <c:invertIfNegative val="0"/>
          <c:cat>
            <c:strRef>
              <c:f>Historical_FTE!$D$108:$M$108</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Historical_FTE!$C$108:$M$108</c15:sqref>
                  </c15:fullRef>
                </c:ext>
              </c:extLst>
            </c:strRef>
          </c:cat>
          <c:val>
            <c:numRef>
              <c:f>Historical_FTE!$D$120:$M$120</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Historical_FTE!$C$120:$M$120</c15:sqref>
                  </c15:fullRef>
                </c:ext>
              </c:extLst>
            </c:numRef>
          </c:val>
        </c:ser>
        <c:ser>
          <c:idx val="12"/>
          <c:order val="11"/>
          <c:tx>
            <c:strRef>
              <c:f>Historical_FTE!$B$121</c:f>
              <c:strCache>
                <c:ptCount val="1"/>
                <c:pt idx="0">
                  <c:v>Role 9</c:v>
                </c:pt>
              </c:strCache>
              <c:extLst xmlns:c15="http://schemas.microsoft.com/office/drawing/2012/chart"/>
            </c:strRef>
          </c:tx>
          <c:spPr>
            <a:solidFill>
              <a:schemeClr val="accent1">
                <a:lumMod val="80000"/>
                <a:lumOff val="20000"/>
              </a:schemeClr>
            </a:solidFill>
            <a:ln>
              <a:noFill/>
            </a:ln>
            <a:effectLst/>
          </c:spPr>
          <c:invertIfNegative val="0"/>
          <c:cat>
            <c:strRef>
              <c:f>Historical_FTE!$D$108:$M$108</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Historical_FTE!$C$108:$M$108</c15:sqref>
                  </c15:fullRef>
                </c:ext>
              </c:extLst>
            </c:strRef>
          </c:cat>
          <c:val>
            <c:numRef>
              <c:f>Historical_FTE!$D$121:$M$121</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Historical_FTE!$C$121:$M$121</c15:sqref>
                  </c15:fullRef>
                </c:ext>
              </c:extLst>
            </c:numRef>
          </c:val>
        </c:ser>
        <c:ser>
          <c:idx val="13"/>
          <c:order val="12"/>
          <c:tx>
            <c:strRef>
              <c:f>Historical_FTE!$B$122</c:f>
              <c:strCache>
                <c:ptCount val="1"/>
                <c:pt idx="0">
                  <c:v>Role 10</c:v>
                </c:pt>
              </c:strCache>
              <c:extLst xmlns:c15="http://schemas.microsoft.com/office/drawing/2012/chart"/>
            </c:strRef>
          </c:tx>
          <c:spPr>
            <a:solidFill>
              <a:schemeClr val="accent2">
                <a:lumMod val="80000"/>
                <a:lumOff val="20000"/>
              </a:schemeClr>
            </a:solidFill>
            <a:ln>
              <a:noFill/>
            </a:ln>
            <a:effectLst/>
          </c:spPr>
          <c:invertIfNegative val="0"/>
          <c:cat>
            <c:strRef>
              <c:f>Historical_FTE!$D$108:$M$108</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Historical_FTE!$C$108:$M$108</c15:sqref>
                  </c15:fullRef>
                </c:ext>
              </c:extLst>
            </c:strRef>
          </c:cat>
          <c:val>
            <c:numRef>
              <c:f>Historical_FTE!$D$122:$M$122</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Historical_FTE!$C$122:$M$122</c15:sqref>
                  </c15:fullRef>
                </c:ext>
              </c:extLst>
            </c:numRef>
          </c:val>
        </c:ser>
        <c:dLbls>
          <c:showLegendKey val="0"/>
          <c:showVal val="0"/>
          <c:showCatName val="0"/>
          <c:showSerName val="0"/>
          <c:showPercent val="0"/>
          <c:showBubbleSize val="0"/>
        </c:dLbls>
        <c:gapWidth val="150"/>
        <c:overlap val="100"/>
        <c:axId val="87969152"/>
        <c:axId val="87983232"/>
        <c:extLst>
          <c:ext xmlns:c15="http://schemas.microsoft.com/office/drawing/2012/chart" uri="{02D57815-91ED-43cb-92C2-25804820EDAC}">
            <c15:filteredBarSeries>
              <c15:ser>
                <c:idx val="0"/>
                <c:order val="0"/>
                <c:tx>
                  <c:strRef>
                    <c:extLst>
                      <c:ext uri="{02D57815-91ED-43cb-92C2-25804820EDAC}">
                        <c15:formulaRef>
                          <c15:sqref>Historical_FTE!$B$109</c15:sqref>
                        </c15:formulaRef>
                      </c:ext>
                    </c:extLst>
                    <c:strCache>
                      <c:ptCount val="1"/>
                      <c:pt idx="0">
                        <c:v>All figures in USD</c:v>
                      </c:pt>
                    </c:strCache>
                  </c:strRef>
                </c:tx>
                <c:spPr>
                  <a:solidFill>
                    <a:schemeClr val="accent1"/>
                  </a:solidFill>
                  <a:ln>
                    <a:noFill/>
                  </a:ln>
                  <a:effectLst/>
                </c:spPr>
                <c:invertIfNegative val="0"/>
                <c:cat>
                  <c:strRef>
                    <c:extLst>
                      <c:ext uri="{02D57815-91ED-43cb-92C2-25804820EDAC}">
                        <c15:fullRef>
                          <c15:sqref>Historical_FTE!$C$108:$M$108</c15:sqref>
                        </c15:fullRef>
                        <c15:formulaRef>
                          <c15:sqref>Historical_FTE!$D$108:$M$108</c15:sqref>
                        </c15:formulaRef>
                      </c:ext>
                    </c:extLst>
                    <c:strCache>
                      <c:ptCount val="10"/>
                      <c:pt idx="0">
                        <c:v>Year 1</c:v>
                      </c:pt>
                      <c:pt idx="1">
                        <c:v>Year 2</c:v>
                      </c:pt>
                      <c:pt idx="2">
                        <c:v>Year 3</c:v>
                      </c:pt>
                      <c:pt idx="3">
                        <c:v>Year 4</c:v>
                      </c:pt>
                      <c:pt idx="4">
                        <c:v>Year 5</c:v>
                      </c:pt>
                      <c:pt idx="5">
                        <c:v>Year 6 </c:v>
                      </c:pt>
                      <c:pt idx="6">
                        <c:v>Year 7</c:v>
                      </c:pt>
                      <c:pt idx="7">
                        <c:v>Year 8</c:v>
                      </c:pt>
                      <c:pt idx="8">
                        <c:v>Year 9</c:v>
                      </c:pt>
                      <c:pt idx="9">
                        <c:v>Year 10</c:v>
                      </c:pt>
                    </c:strCache>
                  </c:strRef>
                </c:cat>
                <c:val>
                  <c:numRef>
                    <c:extLst>
                      <c:ext uri="{02D57815-91ED-43cb-92C2-25804820EDAC}">
                        <c15:fullRef>
                          <c15:sqref>Historical_FTE!$C$109:$M$109</c15:sqref>
                        </c15:fullRef>
                        <c15:formulaRef>
                          <c15:sqref>Historical_FTE!$D$109:$M$109</c15:sqref>
                        </c15:formulaRef>
                      </c:ext>
                    </c:extLst>
                    <c:numCache>
                      <c:formatCode>General</c:formatCode>
                      <c:ptCount val="10"/>
                    </c:numCache>
                  </c:numRef>
                </c:val>
              </c15:ser>
            </c15:filteredBarSeries>
          </c:ext>
        </c:extLst>
      </c:barChart>
      <c:catAx>
        <c:axId val="8796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983232"/>
        <c:crosses val="autoZero"/>
        <c:auto val="1"/>
        <c:lblAlgn val="ctr"/>
        <c:lblOffset val="100"/>
        <c:noMultiLvlLbl val="0"/>
      </c:catAx>
      <c:valAx>
        <c:axId val="87983232"/>
        <c:scaling>
          <c:orientation val="minMax"/>
        </c:scaling>
        <c:delete val="0"/>
        <c:axPos val="l"/>
        <c:majorGridlines>
          <c:spPr>
            <a:ln w="3175" cap="flat" cmpd="sng" algn="ctr">
              <a:solidFill>
                <a:srgbClr val="D9D9D9"/>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Value of labor received</a:t>
                </a:r>
              </a:p>
            </c:rich>
          </c:tx>
          <c:layout>
            <c:manualLayout>
              <c:xMode val="edge"/>
              <c:yMode val="edge"/>
              <c:x val="4.6541183817153985E-3"/>
              <c:y val="0.28916447444621268"/>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969152"/>
        <c:crosses val="autoZero"/>
        <c:crossBetween val="between"/>
      </c:valAx>
      <c:spPr>
        <a:noFill/>
        <a:ln>
          <a:noFill/>
        </a:ln>
        <a:effectLst/>
      </c:spPr>
    </c:plotArea>
    <c:legend>
      <c:legendPos val="b"/>
      <c:layout>
        <c:manualLayout>
          <c:xMode val="edge"/>
          <c:yMode val="edge"/>
          <c:x val="4.1452803208483241E-2"/>
          <c:y val="0.7893336809242707"/>
          <c:w val="0.92174851196474894"/>
          <c:h val="0.174679322566042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i="0" baseline="0">
                <a:effectLst/>
              </a:rPr>
              <a:t>Directly Paid FTEs, Count by Year</a:t>
            </a:r>
          </a:p>
          <a:p>
            <a:pPr>
              <a:defRPr sz="1100" b="0" i="0" u="none" strike="noStrike" kern="1200" spc="0" baseline="0">
                <a:solidFill>
                  <a:schemeClr val="tx1">
                    <a:lumMod val="65000"/>
                    <a:lumOff val="35000"/>
                  </a:schemeClr>
                </a:solidFill>
                <a:latin typeface="+mn-lt"/>
                <a:ea typeface="+mn-ea"/>
                <a:cs typeface="+mn-cs"/>
              </a:defRPr>
            </a:pPr>
            <a:r>
              <a:rPr lang="en-US" sz="1100" b="0" i="0" baseline="0">
                <a:effectLst/>
              </a:rPr>
              <a:t>Results of </a:t>
            </a:r>
            <a:r>
              <a:rPr lang="en-US" sz="1100" b="0" i="0" u="none" strike="noStrike" baseline="0">
                <a:effectLst/>
              </a:rPr>
              <a:t>Historical FTE-based cost estimate</a:t>
            </a:r>
            <a:endParaRPr lang="en-US" sz="1100">
              <a:effectLst/>
            </a:endParaRPr>
          </a:p>
        </c:rich>
      </c:tx>
      <c:layout>
        <c:manualLayout>
          <c:xMode val="edge"/>
          <c:yMode val="edge"/>
          <c:x val="0.24174865122183434"/>
          <c:y val="1.3495123691132394E-2"/>
        </c:manualLayout>
      </c:layout>
      <c:overlay val="0"/>
      <c:spPr>
        <a:noFill/>
        <a:ln>
          <a:noFill/>
        </a:ln>
        <a:effectLst/>
      </c:spPr>
    </c:title>
    <c:autoTitleDeleted val="0"/>
    <c:plotArea>
      <c:layout>
        <c:manualLayout>
          <c:layoutTarget val="inner"/>
          <c:xMode val="edge"/>
          <c:yMode val="edge"/>
          <c:x val="0.10250897292036033"/>
          <c:y val="0.15632990594851803"/>
          <c:w val="0.871893375980205"/>
          <c:h val="0.52368022294936101"/>
        </c:manualLayout>
      </c:layout>
      <c:barChart>
        <c:barDir val="col"/>
        <c:grouping val="stacked"/>
        <c:varyColors val="0"/>
        <c:ser>
          <c:idx val="1"/>
          <c:order val="0"/>
          <c:tx>
            <c:strRef>
              <c:f>Historical_FTE!$B$44</c:f>
              <c:strCache>
                <c:ptCount val="1"/>
                <c:pt idx="0">
                  <c:v>Senior Developer</c:v>
                </c:pt>
              </c:strCache>
            </c:strRef>
          </c:tx>
          <c:spPr>
            <a:solidFill>
              <a:schemeClr val="tx2"/>
            </a:solidFill>
            <a:ln>
              <a:noFill/>
            </a:ln>
            <a:effectLst/>
          </c:spPr>
          <c:invertIfNegative val="0"/>
          <c:cat>
            <c:strRef>
              <c:f>Historical_FTE!$D$42:$M$42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Historical_FTE!$C$42:$M$42</c15:sqref>
                  </c15:fullRef>
                </c:ext>
              </c:extLst>
            </c:strRef>
          </c:cat>
          <c:val>
            <c:numRef>
              <c:f>Historical_FTE!$D$44:$M$44</c:f>
              <c:numCache>
                <c:formatCode>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Historical_FTE!$C$44:$M$44</c15:sqref>
                  </c15:fullRef>
                </c:ext>
              </c:extLst>
            </c:numRef>
          </c:val>
        </c:ser>
        <c:ser>
          <c:idx val="2"/>
          <c:order val="1"/>
          <c:tx>
            <c:strRef>
              <c:f>Historical_FTE!$B$45</c:f>
              <c:strCache>
                <c:ptCount val="1"/>
                <c:pt idx="0">
                  <c:v>Junior Developer</c:v>
                </c:pt>
              </c:strCache>
            </c:strRef>
          </c:tx>
          <c:spPr>
            <a:solidFill>
              <a:srgbClr val="7E9BC8"/>
            </a:solidFill>
            <a:ln>
              <a:noFill/>
            </a:ln>
            <a:effectLst/>
          </c:spPr>
          <c:invertIfNegative val="0"/>
          <c:cat>
            <c:strRef>
              <c:f>Historical_FTE!$D$42:$M$42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Historical_FTE!$C$42:$M$42</c15:sqref>
                  </c15:fullRef>
                </c:ext>
              </c:extLst>
            </c:strRef>
          </c:cat>
          <c:val>
            <c:numRef>
              <c:f>Historical_FTE!$D$45:$M$45</c:f>
              <c:numCache>
                <c:formatCode>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Historical_FTE!$C$45:$M$45</c15:sqref>
                  </c15:fullRef>
                </c:ext>
              </c:extLst>
            </c:numRef>
          </c:val>
        </c:ser>
        <c:ser>
          <c:idx val="3"/>
          <c:order val="2"/>
          <c:tx>
            <c:strRef>
              <c:f>Historical_FTE!$B$46</c:f>
              <c:strCache>
                <c:ptCount val="1"/>
                <c:pt idx="0">
                  <c:v>IT Personnel</c:v>
                </c:pt>
              </c:strCache>
            </c:strRef>
          </c:tx>
          <c:spPr>
            <a:solidFill>
              <a:srgbClr val="06C245"/>
            </a:solidFill>
            <a:ln>
              <a:noFill/>
            </a:ln>
            <a:effectLst/>
          </c:spPr>
          <c:invertIfNegative val="0"/>
          <c:cat>
            <c:strRef>
              <c:f>Historical_FTE!$D$42:$M$42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Historical_FTE!$C$42:$M$42</c15:sqref>
                  </c15:fullRef>
                </c:ext>
              </c:extLst>
            </c:strRef>
          </c:cat>
          <c:val>
            <c:numRef>
              <c:f>Historical_FTE!$D$46:$M$46</c:f>
              <c:numCache>
                <c:formatCode>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Historical_FTE!$C$46:$M$46</c15:sqref>
                  </c15:fullRef>
                </c:ext>
              </c:extLst>
            </c:numRef>
          </c:val>
        </c:ser>
        <c:ser>
          <c:idx val="4"/>
          <c:order val="3"/>
          <c:tx>
            <c:strRef>
              <c:f>Historical_FTE!$B$47</c:f>
              <c:strCache>
                <c:ptCount val="1"/>
                <c:pt idx="0">
                  <c:v>Role 1</c:v>
                </c:pt>
              </c:strCache>
              <c:extLst xmlns:c15="http://schemas.microsoft.com/office/drawing/2012/chart"/>
            </c:strRef>
          </c:tx>
          <c:spPr>
            <a:solidFill>
              <a:srgbClr val="EEA632"/>
            </a:solidFill>
            <a:ln>
              <a:noFill/>
            </a:ln>
            <a:effectLst/>
          </c:spPr>
          <c:invertIfNegative val="0"/>
          <c:cat>
            <c:strRef>
              <c:f>Historical_FTE!$D$42:$M$42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Historical_FTE!$C$42:$M$42</c15:sqref>
                  </c15:fullRef>
                </c:ext>
              </c:extLst>
            </c:strRef>
          </c:cat>
          <c:val>
            <c:numRef>
              <c:f>Historical_FTE!$D$47:$M$47</c:f>
              <c:numCache>
                <c:formatCode>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Historical_FTE!$C$47:$M$47</c15:sqref>
                  </c15:fullRef>
                </c:ext>
              </c:extLst>
            </c:numRef>
          </c:val>
        </c:ser>
        <c:ser>
          <c:idx val="5"/>
          <c:order val="4"/>
          <c:tx>
            <c:strRef>
              <c:f>Historical_FTE!$B$48</c:f>
              <c:strCache>
                <c:ptCount val="1"/>
                <c:pt idx="0">
                  <c:v>Role 2</c:v>
                </c:pt>
              </c:strCache>
              <c:extLst xmlns:c15="http://schemas.microsoft.com/office/drawing/2012/chart"/>
            </c:strRef>
          </c:tx>
          <c:spPr>
            <a:solidFill>
              <a:srgbClr val="FEEC00"/>
            </a:solidFill>
            <a:ln>
              <a:noFill/>
            </a:ln>
            <a:effectLst/>
          </c:spPr>
          <c:invertIfNegative val="0"/>
          <c:cat>
            <c:strRef>
              <c:f>Historical_FTE!$D$42:$M$42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Historical_FTE!$C$42:$M$42</c15:sqref>
                  </c15:fullRef>
                </c:ext>
              </c:extLst>
            </c:strRef>
          </c:cat>
          <c:val>
            <c:numRef>
              <c:f>Historical_FTE!$D$48:$M$48</c:f>
              <c:numCache>
                <c:formatCode>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Historical_FTE!$C$48:$M$48</c15:sqref>
                  </c15:fullRef>
                </c:ext>
              </c:extLst>
            </c:numRef>
          </c:val>
        </c:ser>
        <c:ser>
          <c:idx val="6"/>
          <c:order val="5"/>
          <c:tx>
            <c:strRef>
              <c:f>Historical_FTE!$B$49</c:f>
              <c:strCache>
                <c:ptCount val="1"/>
                <c:pt idx="0">
                  <c:v>Role 3</c:v>
                </c:pt>
              </c:strCache>
              <c:extLst xmlns:c15="http://schemas.microsoft.com/office/drawing/2012/chart"/>
            </c:strRef>
          </c:tx>
          <c:spPr>
            <a:solidFill>
              <a:srgbClr val="DC6E00"/>
            </a:solidFill>
            <a:ln>
              <a:noFill/>
            </a:ln>
            <a:effectLst/>
          </c:spPr>
          <c:invertIfNegative val="0"/>
          <c:cat>
            <c:strRef>
              <c:f>Historical_FTE!$D$42:$M$42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Historical_FTE!$C$42:$M$42</c15:sqref>
                  </c15:fullRef>
                </c:ext>
              </c:extLst>
            </c:strRef>
          </c:cat>
          <c:val>
            <c:numRef>
              <c:f>Historical_FTE!$D$49:$M$49</c:f>
              <c:numCache>
                <c:formatCode>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Historical_FTE!$C$49:$M$49</c15:sqref>
                  </c15:fullRef>
                </c:ext>
              </c:extLst>
            </c:numRef>
          </c:val>
        </c:ser>
        <c:ser>
          <c:idx val="7"/>
          <c:order val="6"/>
          <c:tx>
            <c:strRef>
              <c:f>Historical_FTE!$B$50</c:f>
              <c:strCache>
                <c:ptCount val="1"/>
                <c:pt idx="0">
                  <c:v>Role 4</c:v>
                </c:pt>
              </c:strCache>
              <c:extLst xmlns:c15="http://schemas.microsoft.com/office/drawing/2012/chart"/>
            </c:strRef>
          </c:tx>
          <c:spPr>
            <a:solidFill>
              <a:srgbClr val="177B39"/>
            </a:solidFill>
            <a:ln>
              <a:noFill/>
            </a:ln>
            <a:effectLst/>
          </c:spPr>
          <c:invertIfNegative val="0"/>
          <c:cat>
            <c:strRef>
              <c:f>Historical_FTE!$D$42:$M$42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Historical_FTE!$C$42:$M$42</c15:sqref>
                  </c15:fullRef>
                </c:ext>
              </c:extLst>
            </c:strRef>
          </c:cat>
          <c:val>
            <c:numRef>
              <c:f>Historical_FTE!$D$50:$M$50</c:f>
              <c:numCache>
                <c:formatCode>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Historical_FTE!$C$50:$M$50</c15:sqref>
                  </c15:fullRef>
                </c:ext>
              </c:extLst>
            </c:numRef>
          </c:val>
        </c:ser>
        <c:ser>
          <c:idx val="8"/>
          <c:order val="7"/>
          <c:tx>
            <c:strRef>
              <c:f>Historical_FTE!$B$51</c:f>
              <c:strCache>
                <c:ptCount val="1"/>
                <c:pt idx="0">
                  <c:v>Role 5</c:v>
                </c:pt>
              </c:strCache>
              <c:extLst xmlns:c15="http://schemas.microsoft.com/office/drawing/2012/chart"/>
            </c:strRef>
          </c:tx>
          <c:spPr>
            <a:solidFill>
              <a:schemeClr val="accent3">
                <a:lumMod val="60000"/>
              </a:schemeClr>
            </a:solidFill>
            <a:ln>
              <a:noFill/>
            </a:ln>
            <a:effectLst/>
          </c:spPr>
          <c:invertIfNegative val="0"/>
          <c:cat>
            <c:strRef>
              <c:f>Historical_FTE!$D$42:$M$42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Historical_FTE!$C$42:$M$42</c15:sqref>
                  </c15:fullRef>
                </c:ext>
              </c:extLst>
            </c:strRef>
          </c:cat>
          <c:val>
            <c:numRef>
              <c:f>Historical_FTE!$D$51:$M$51</c:f>
              <c:numCache>
                <c:formatCode>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Historical_FTE!$C$51:$M$51</c15:sqref>
                  </c15:fullRef>
                </c:ext>
              </c:extLst>
            </c:numRef>
          </c:val>
        </c:ser>
        <c:ser>
          <c:idx val="9"/>
          <c:order val="8"/>
          <c:tx>
            <c:strRef>
              <c:f>Historical_FTE!$B$52</c:f>
              <c:strCache>
                <c:ptCount val="1"/>
                <c:pt idx="0">
                  <c:v>Role 6</c:v>
                </c:pt>
              </c:strCache>
              <c:extLst xmlns:c15="http://schemas.microsoft.com/office/drawing/2012/chart"/>
            </c:strRef>
          </c:tx>
          <c:spPr>
            <a:solidFill>
              <a:schemeClr val="accent4">
                <a:lumMod val="60000"/>
              </a:schemeClr>
            </a:solidFill>
            <a:ln>
              <a:noFill/>
            </a:ln>
            <a:effectLst/>
          </c:spPr>
          <c:invertIfNegative val="0"/>
          <c:cat>
            <c:strRef>
              <c:f>Historical_FTE!$D$42:$M$42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Historical_FTE!$C$42:$M$42</c15:sqref>
                  </c15:fullRef>
                </c:ext>
              </c:extLst>
            </c:strRef>
          </c:cat>
          <c:val>
            <c:numRef>
              <c:f>Historical_FTE!$D$52:$M$52</c:f>
              <c:numCache>
                <c:formatCode>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Historical_FTE!$C$52:$M$52</c15:sqref>
                  </c15:fullRef>
                </c:ext>
              </c:extLst>
            </c:numRef>
          </c:val>
        </c:ser>
        <c:ser>
          <c:idx val="10"/>
          <c:order val="9"/>
          <c:tx>
            <c:strRef>
              <c:f>Historical_FTE!$B$53</c:f>
              <c:strCache>
                <c:ptCount val="1"/>
                <c:pt idx="0">
                  <c:v>Role 7</c:v>
                </c:pt>
              </c:strCache>
              <c:extLst xmlns:c15="http://schemas.microsoft.com/office/drawing/2012/chart"/>
            </c:strRef>
          </c:tx>
          <c:spPr>
            <a:solidFill>
              <a:schemeClr val="accent5">
                <a:lumMod val="60000"/>
              </a:schemeClr>
            </a:solidFill>
            <a:ln>
              <a:noFill/>
            </a:ln>
            <a:effectLst/>
          </c:spPr>
          <c:invertIfNegative val="0"/>
          <c:cat>
            <c:strRef>
              <c:f>Historical_FTE!$D$42:$M$42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Historical_FTE!$C$42:$M$42</c15:sqref>
                  </c15:fullRef>
                </c:ext>
              </c:extLst>
            </c:strRef>
          </c:cat>
          <c:val>
            <c:numRef>
              <c:f>Historical_FTE!$D$53:$M$53</c:f>
              <c:numCache>
                <c:formatCode>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Historical_FTE!$C$53:$M$53</c15:sqref>
                  </c15:fullRef>
                </c:ext>
              </c:extLst>
            </c:numRef>
          </c:val>
        </c:ser>
        <c:ser>
          <c:idx val="11"/>
          <c:order val="10"/>
          <c:tx>
            <c:strRef>
              <c:f>Historical_FTE!$B$54</c:f>
              <c:strCache>
                <c:ptCount val="1"/>
                <c:pt idx="0">
                  <c:v>Role 8</c:v>
                </c:pt>
              </c:strCache>
              <c:extLst xmlns:c15="http://schemas.microsoft.com/office/drawing/2012/chart"/>
            </c:strRef>
          </c:tx>
          <c:spPr>
            <a:solidFill>
              <a:schemeClr val="accent6">
                <a:lumMod val="60000"/>
              </a:schemeClr>
            </a:solidFill>
            <a:ln>
              <a:noFill/>
            </a:ln>
            <a:effectLst/>
          </c:spPr>
          <c:invertIfNegative val="0"/>
          <c:cat>
            <c:strRef>
              <c:f>Historical_FTE!$D$42:$M$42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Historical_FTE!$C$42:$M$42</c15:sqref>
                  </c15:fullRef>
                </c:ext>
              </c:extLst>
            </c:strRef>
          </c:cat>
          <c:val>
            <c:numRef>
              <c:f>Historical_FTE!$D$54:$M$54</c:f>
              <c:numCache>
                <c:formatCode>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Historical_FTE!$C$54:$M$54</c15:sqref>
                  </c15:fullRef>
                </c:ext>
              </c:extLst>
            </c:numRef>
          </c:val>
        </c:ser>
        <c:ser>
          <c:idx val="12"/>
          <c:order val="11"/>
          <c:tx>
            <c:strRef>
              <c:f>Historical_FTE!$B$55</c:f>
              <c:strCache>
                <c:ptCount val="1"/>
                <c:pt idx="0">
                  <c:v>Role 9</c:v>
                </c:pt>
              </c:strCache>
              <c:extLst xmlns:c15="http://schemas.microsoft.com/office/drawing/2012/chart"/>
            </c:strRef>
          </c:tx>
          <c:spPr>
            <a:solidFill>
              <a:schemeClr val="accent1">
                <a:lumMod val="80000"/>
                <a:lumOff val="20000"/>
              </a:schemeClr>
            </a:solidFill>
            <a:ln>
              <a:noFill/>
            </a:ln>
            <a:effectLst/>
          </c:spPr>
          <c:invertIfNegative val="0"/>
          <c:cat>
            <c:strRef>
              <c:f>Historical_FTE!$D$42:$M$42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Historical_FTE!$C$42:$M$42</c15:sqref>
                  </c15:fullRef>
                </c:ext>
              </c:extLst>
            </c:strRef>
          </c:cat>
          <c:val>
            <c:numRef>
              <c:f>Historical_FTE!$D$55:$M$55</c:f>
              <c:numCache>
                <c:formatCode>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Historical_FTE!$C$55:$M$55</c15:sqref>
                  </c15:fullRef>
                </c:ext>
              </c:extLst>
            </c:numRef>
          </c:val>
        </c:ser>
        <c:ser>
          <c:idx val="13"/>
          <c:order val="12"/>
          <c:tx>
            <c:strRef>
              <c:f>Historical_FTE!$B$56</c:f>
              <c:strCache>
                <c:ptCount val="1"/>
                <c:pt idx="0">
                  <c:v>Role 10</c:v>
                </c:pt>
              </c:strCache>
              <c:extLst xmlns:c15="http://schemas.microsoft.com/office/drawing/2012/chart"/>
            </c:strRef>
          </c:tx>
          <c:spPr>
            <a:solidFill>
              <a:schemeClr val="accent2">
                <a:lumMod val="80000"/>
                <a:lumOff val="20000"/>
              </a:schemeClr>
            </a:solidFill>
            <a:ln>
              <a:noFill/>
            </a:ln>
            <a:effectLst/>
          </c:spPr>
          <c:invertIfNegative val="0"/>
          <c:cat>
            <c:strRef>
              <c:f>Historical_FTE!$D$42:$M$42</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Historical_FTE!$C$42:$M$42</c15:sqref>
                  </c15:fullRef>
                </c:ext>
              </c:extLst>
            </c:strRef>
          </c:cat>
          <c:val>
            <c:numRef>
              <c:f>Historical_FTE!$D$56:$M$56</c:f>
              <c:numCache>
                <c:formatCode>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Historical_FTE!$C$56:$M$56</c15:sqref>
                  </c15:fullRef>
                </c:ext>
              </c:extLst>
            </c:numRef>
          </c:val>
        </c:ser>
        <c:dLbls>
          <c:showLegendKey val="0"/>
          <c:showVal val="0"/>
          <c:showCatName val="0"/>
          <c:showSerName val="0"/>
          <c:showPercent val="0"/>
          <c:showBubbleSize val="0"/>
        </c:dLbls>
        <c:gapWidth val="150"/>
        <c:overlap val="100"/>
        <c:axId val="88398848"/>
        <c:axId val="88081152"/>
        <c:extLst>
          <c:ext xmlns:c15="http://schemas.microsoft.com/office/drawing/2012/chart" uri="{02D57815-91ED-43cb-92C2-25804820EDAC}">
            <c15:filteredBarSeries>
              <c15:ser>
                <c:idx val="0"/>
                <c:order val="0"/>
                <c:tx>
                  <c:strRef>
                    <c:extLst>
                      <c:ext uri="{02D57815-91ED-43cb-92C2-25804820EDAC}">
                        <c15:formulaRef>
                          <c15:sqref>Historical_FTE!$B$43</c15:sqref>
                        </c15:formulaRef>
                      </c:ext>
                    </c:extLst>
                    <c:strCache>
                      <c:ptCount val="1"/>
                    </c:strCache>
                  </c:strRef>
                </c:tx>
                <c:spPr>
                  <a:solidFill>
                    <a:schemeClr val="accent1"/>
                  </a:solidFill>
                  <a:ln>
                    <a:noFill/>
                  </a:ln>
                  <a:effectLst/>
                </c:spPr>
                <c:invertIfNegative val="0"/>
                <c:cat>
                  <c:strRef>
                    <c:extLst>
                      <c:ext uri="{02D57815-91ED-43cb-92C2-25804820EDAC}">
                        <c15:fullRef>
                          <c15:sqref>Historical_FTE!$C$42:$M$42</c15:sqref>
                        </c15:fullRef>
                        <c15:formulaRef>
                          <c15:sqref>Historical_FTE!$D$42:$M$42</c15:sqref>
                        </c15:formulaRef>
                      </c:ext>
                    </c:extLst>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strRef>
                </c:cat>
                <c:val>
                  <c:numRef>
                    <c:extLst>
                      <c:ext uri="{02D57815-91ED-43cb-92C2-25804820EDAC}">
                        <c15:fullRef>
                          <c15:sqref>Historical_FTE!$C$43:$M$43</c15:sqref>
                        </c15:fullRef>
                        <c15:formulaRef>
                          <c15:sqref>Historical_FTE!$D$43:$M$43</c15:sqref>
                        </c15:formulaRef>
                      </c:ext>
                    </c:extLst>
                    <c:numCache>
                      <c:formatCode>General</c:formatCode>
                      <c:ptCount val="10"/>
                      <c:pt idx="0">
                        <c:v>0</c:v>
                      </c:pt>
                    </c:numCache>
                  </c:numRef>
                </c:val>
              </c15:ser>
            </c15:filteredBarSeries>
          </c:ext>
        </c:extLst>
      </c:barChart>
      <c:catAx>
        <c:axId val="8839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8081152"/>
        <c:crosses val="autoZero"/>
        <c:auto val="1"/>
        <c:lblAlgn val="ctr"/>
        <c:lblOffset val="100"/>
        <c:noMultiLvlLbl val="0"/>
      </c:catAx>
      <c:valAx>
        <c:axId val="88081152"/>
        <c:scaling>
          <c:orientation val="minMax"/>
        </c:scaling>
        <c:delete val="0"/>
        <c:axPos val="l"/>
        <c:majorGridlines>
          <c:spPr>
            <a:ln w="3175" cap="flat" cmpd="sng" algn="ctr">
              <a:solidFill>
                <a:srgbClr val="D9D9D9"/>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Avg. Number of FTEs</a:t>
                </a:r>
              </a:p>
            </c:rich>
          </c:tx>
          <c:layout>
            <c:manualLayout>
              <c:xMode val="edge"/>
              <c:yMode val="edge"/>
              <c:x val="4.6541183817153985E-3"/>
              <c:y val="0.28916447444621268"/>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8398848"/>
        <c:crosses val="autoZero"/>
        <c:crossBetween val="between"/>
      </c:valAx>
      <c:spPr>
        <a:noFill/>
        <a:ln>
          <a:noFill/>
        </a:ln>
        <a:effectLst/>
      </c:spPr>
    </c:plotArea>
    <c:legend>
      <c:legendPos val="b"/>
      <c:layout>
        <c:manualLayout>
          <c:xMode val="edge"/>
          <c:yMode val="edge"/>
          <c:x val="4.1452803208483241E-2"/>
          <c:y val="0.8073271791791139"/>
          <c:w val="0.92640263034646442"/>
          <c:h val="0.165682573438621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i="0" baseline="0">
                <a:effectLst/>
              </a:rPr>
              <a:t>Directly Paid FTEs, Investment Cost by Year</a:t>
            </a:r>
            <a:endParaRPr lang="en-US" sz="1100" b="1">
              <a:effectLst/>
            </a:endParaRPr>
          </a:p>
          <a:p>
            <a:pPr>
              <a:defRPr sz="1100" b="0" i="0" u="none" strike="noStrike" kern="1200" spc="0" baseline="0">
                <a:solidFill>
                  <a:schemeClr val="tx1">
                    <a:lumMod val="65000"/>
                    <a:lumOff val="35000"/>
                  </a:schemeClr>
                </a:solidFill>
                <a:latin typeface="+mn-lt"/>
                <a:ea typeface="+mn-ea"/>
                <a:cs typeface="+mn-cs"/>
              </a:defRPr>
            </a:pPr>
            <a:r>
              <a:rPr lang="en-US" sz="1100" b="0" i="0" baseline="0">
                <a:effectLst/>
              </a:rPr>
              <a:t>Results of Historical FTE-based cost estimate</a:t>
            </a:r>
            <a:endParaRPr lang="en-US" sz="1100">
              <a:effectLst/>
            </a:endParaRPr>
          </a:p>
        </c:rich>
      </c:tx>
      <c:layout>
        <c:manualLayout>
          <c:xMode val="edge"/>
          <c:yMode val="edge"/>
          <c:x val="0.26382089926362318"/>
          <c:y val="1.3495123691132394E-2"/>
        </c:manualLayout>
      </c:layout>
      <c:overlay val="0"/>
      <c:spPr>
        <a:noFill/>
        <a:ln>
          <a:noFill/>
        </a:ln>
        <a:effectLst/>
      </c:spPr>
    </c:title>
    <c:autoTitleDeleted val="0"/>
    <c:plotArea>
      <c:layout>
        <c:manualLayout>
          <c:layoutTarget val="inner"/>
          <c:xMode val="edge"/>
          <c:yMode val="edge"/>
          <c:x val="0.15645601797813902"/>
          <c:y val="0.15632990594851803"/>
          <c:w val="0.81794640983892353"/>
          <c:h val="0.52368022294936101"/>
        </c:manualLayout>
      </c:layout>
      <c:barChart>
        <c:barDir val="col"/>
        <c:grouping val="stacked"/>
        <c:varyColors val="0"/>
        <c:ser>
          <c:idx val="1"/>
          <c:order val="0"/>
          <c:tx>
            <c:strRef>
              <c:f>Historical_FTE!$B$91</c:f>
              <c:strCache>
                <c:ptCount val="1"/>
                <c:pt idx="0">
                  <c:v>Senior Developer</c:v>
                </c:pt>
              </c:strCache>
            </c:strRef>
          </c:tx>
          <c:spPr>
            <a:solidFill>
              <a:schemeClr val="tx2"/>
            </a:solidFill>
            <a:ln>
              <a:noFill/>
            </a:ln>
            <a:effectLst/>
          </c:spPr>
          <c:invertIfNegative val="0"/>
          <c:cat>
            <c:strRef>
              <c:f>Historical_FTE!$D$89:$M$89</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Historical_FTE!$C$89:$M$89</c15:sqref>
                  </c15:fullRef>
                </c:ext>
              </c:extLst>
            </c:strRef>
          </c:cat>
          <c:val>
            <c:numRef>
              <c:f>Historical_FTE!$D$91:$M$91</c:f>
              <c:numCache>
                <c:formatCode>_([$$-409]* #,##0_);_([$$-409]* \(#,##0\);_([$$-409]*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Historical_FTE!$C$91:$M$91</c15:sqref>
                  </c15:fullRef>
                </c:ext>
              </c:extLst>
            </c:numRef>
          </c:val>
        </c:ser>
        <c:ser>
          <c:idx val="2"/>
          <c:order val="1"/>
          <c:tx>
            <c:strRef>
              <c:f>Historical_FTE!$B$92</c:f>
              <c:strCache>
                <c:ptCount val="1"/>
                <c:pt idx="0">
                  <c:v>Junior Developer</c:v>
                </c:pt>
              </c:strCache>
            </c:strRef>
          </c:tx>
          <c:spPr>
            <a:solidFill>
              <a:srgbClr val="7E9BC8"/>
            </a:solidFill>
            <a:ln>
              <a:noFill/>
            </a:ln>
            <a:effectLst/>
          </c:spPr>
          <c:invertIfNegative val="0"/>
          <c:cat>
            <c:strRef>
              <c:f>Historical_FTE!$D$89:$M$89</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Historical_FTE!$C$89:$M$89</c15:sqref>
                  </c15:fullRef>
                </c:ext>
              </c:extLst>
            </c:strRef>
          </c:cat>
          <c:val>
            <c:numRef>
              <c:f>Historical_FTE!$D$92:$M$92</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Historical_FTE!$C$92:$M$92</c15:sqref>
                  </c15:fullRef>
                </c:ext>
              </c:extLst>
            </c:numRef>
          </c:val>
        </c:ser>
        <c:ser>
          <c:idx val="3"/>
          <c:order val="2"/>
          <c:tx>
            <c:strRef>
              <c:f>Historical_FTE!$B$93</c:f>
              <c:strCache>
                <c:ptCount val="1"/>
                <c:pt idx="0">
                  <c:v>IT Personnel</c:v>
                </c:pt>
              </c:strCache>
            </c:strRef>
          </c:tx>
          <c:spPr>
            <a:solidFill>
              <a:srgbClr val="06C245"/>
            </a:solidFill>
            <a:ln>
              <a:noFill/>
            </a:ln>
            <a:effectLst/>
          </c:spPr>
          <c:invertIfNegative val="0"/>
          <c:cat>
            <c:strRef>
              <c:f>Historical_FTE!$D$89:$M$89</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Historical_FTE!$C$89:$M$89</c15:sqref>
                  </c15:fullRef>
                </c:ext>
              </c:extLst>
            </c:strRef>
          </c:cat>
          <c:val>
            <c:numRef>
              <c:f>Historical_FTE!$D$93:$M$93</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Historical_FTE!$C$93:$M$93</c15:sqref>
                  </c15:fullRef>
                </c:ext>
              </c:extLst>
            </c:numRef>
          </c:val>
        </c:ser>
        <c:ser>
          <c:idx val="4"/>
          <c:order val="3"/>
          <c:tx>
            <c:strRef>
              <c:f>Historical_FTE!$B$94</c:f>
              <c:strCache>
                <c:ptCount val="1"/>
                <c:pt idx="0">
                  <c:v>Role 1</c:v>
                </c:pt>
              </c:strCache>
              <c:extLst xmlns:c15="http://schemas.microsoft.com/office/drawing/2012/chart"/>
            </c:strRef>
          </c:tx>
          <c:spPr>
            <a:solidFill>
              <a:srgbClr val="EEA632"/>
            </a:solidFill>
            <a:ln>
              <a:noFill/>
            </a:ln>
            <a:effectLst/>
          </c:spPr>
          <c:invertIfNegative val="0"/>
          <c:cat>
            <c:strRef>
              <c:f>Historical_FTE!$D$89:$M$89</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Historical_FTE!$C$89:$M$89</c15:sqref>
                  </c15:fullRef>
                </c:ext>
              </c:extLst>
            </c:strRef>
          </c:cat>
          <c:val>
            <c:numRef>
              <c:f>Historical_FTE!$D$94:$M$94</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Historical_FTE!$C$94:$M$94</c15:sqref>
                  </c15:fullRef>
                </c:ext>
              </c:extLst>
            </c:numRef>
          </c:val>
        </c:ser>
        <c:ser>
          <c:idx val="5"/>
          <c:order val="4"/>
          <c:tx>
            <c:strRef>
              <c:f>Historical_FTE!$B$95</c:f>
              <c:strCache>
                <c:ptCount val="1"/>
                <c:pt idx="0">
                  <c:v>Role 2</c:v>
                </c:pt>
              </c:strCache>
              <c:extLst xmlns:c15="http://schemas.microsoft.com/office/drawing/2012/chart"/>
            </c:strRef>
          </c:tx>
          <c:spPr>
            <a:solidFill>
              <a:srgbClr val="FEEC00"/>
            </a:solidFill>
            <a:ln>
              <a:noFill/>
            </a:ln>
            <a:effectLst/>
          </c:spPr>
          <c:invertIfNegative val="0"/>
          <c:cat>
            <c:strRef>
              <c:f>Historical_FTE!$D$89:$M$89</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Historical_FTE!$C$89:$M$89</c15:sqref>
                  </c15:fullRef>
                </c:ext>
              </c:extLst>
            </c:strRef>
          </c:cat>
          <c:val>
            <c:numRef>
              <c:f>Historical_FTE!$D$95:$M$95</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Historical_FTE!$C$95:$M$95</c15:sqref>
                  </c15:fullRef>
                </c:ext>
              </c:extLst>
            </c:numRef>
          </c:val>
        </c:ser>
        <c:ser>
          <c:idx val="6"/>
          <c:order val="5"/>
          <c:tx>
            <c:strRef>
              <c:f>Historical_FTE!$B$96</c:f>
              <c:strCache>
                <c:ptCount val="1"/>
                <c:pt idx="0">
                  <c:v>Role 3</c:v>
                </c:pt>
              </c:strCache>
              <c:extLst xmlns:c15="http://schemas.microsoft.com/office/drawing/2012/chart"/>
            </c:strRef>
          </c:tx>
          <c:spPr>
            <a:solidFill>
              <a:srgbClr val="DC6E00"/>
            </a:solidFill>
            <a:ln>
              <a:noFill/>
            </a:ln>
            <a:effectLst/>
          </c:spPr>
          <c:invertIfNegative val="0"/>
          <c:cat>
            <c:strRef>
              <c:f>Historical_FTE!$D$89:$M$89</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Historical_FTE!$C$89:$M$89</c15:sqref>
                  </c15:fullRef>
                </c:ext>
              </c:extLst>
            </c:strRef>
          </c:cat>
          <c:val>
            <c:numRef>
              <c:f>Historical_FTE!$D$96:$M$96</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Historical_FTE!$C$96:$M$96</c15:sqref>
                  </c15:fullRef>
                </c:ext>
              </c:extLst>
            </c:numRef>
          </c:val>
        </c:ser>
        <c:ser>
          <c:idx val="7"/>
          <c:order val="6"/>
          <c:tx>
            <c:strRef>
              <c:f>Historical_FTE!$B$97</c:f>
              <c:strCache>
                <c:ptCount val="1"/>
                <c:pt idx="0">
                  <c:v>Role 4</c:v>
                </c:pt>
              </c:strCache>
              <c:extLst xmlns:c15="http://schemas.microsoft.com/office/drawing/2012/chart"/>
            </c:strRef>
          </c:tx>
          <c:spPr>
            <a:solidFill>
              <a:srgbClr val="177B39"/>
            </a:solidFill>
            <a:ln>
              <a:noFill/>
            </a:ln>
            <a:effectLst/>
          </c:spPr>
          <c:invertIfNegative val="0"/>
          <c:cat>
            <c:strRef>
              <c:f>Historical_FTE!$D$89:$M$89</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Historical_FTE!$C$89:$M$89</c15:sqref>
                  </c15:fullRef>
                </c:ext>
              </c:extLst>
            </c:strRef>
          </c:cat>
          <c:val>
            <c:numRef>
              <c:f>Historical_FTE!$D$97:$M$97</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Historical_FTE!$C$97:$M$97</c15:sqref>
                  </c15:fullRef>
                </c:ext>
              </c:extLst>
            </c:numRef>
          </c:val>
        </c:ser>
        <c:ser>
          <c:idx val="8"/>
          <c:order val="7"/>
          <c:tx>
            <c:strRef>
              <c:f>Historical_FTE!$B$98</c:f>
              <c:strCache>
                <c:ptCount val="1"/>
                <c:pt idx="0">
                  <c:v>Role 5</c:v>
                </c:pt>
              </c:strCache>
              <c:extLst xmlns:c15="http://schemas.microsoft.com/office/drawing/2012/chart"/>
            </c:strRef>
          </c:tx>
          <c:spPr>
            <a:solidFill>
              <a:schemeClr val="accent3">
                <a:lumMod val="60000"/>
              </a:schemeClr>
            </a:solidFill>
            <a:ln>
              <a:noFill/>
            </a:ln>
            <a:effectLst/>
          </c:spPr>
          <c:invertIfNegative val="0"/>
          <c:cat>
            <c:strRef>
              <c:f>Historical_FTE!$D$89:$M$89</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Historical_FTE!$C$89:$M$89</c15:sqref>
                  </c15:fullRef>
                </c:ext>
              </c:extLst>
            </c:strRef>
          </c:cat>
          <c:val>
            <c:numRef>
              <c:f>Historical_FTE!$D$98:$M$98</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Historical_FTE!$C$98:$M$98</c15:sqref>
                  </c15:fullRef>
                </c:ext>
              </c:extLst>
            </c:numRef>
          </c:val>
        </c:ser>
        <c:ser>
          <c:idx val="9"/>
          <c:order val="8"/>
          <c:tx>
            <c:strRef>
              <c:f>Historical_FTE!$B$99</c:f>
              <c:strCache>
                <c:ptCount val="1"/>
                <c:pt idx="0">
                  <c:v>Role 6</c:v>
                </c:pt>
              </c:strCache>
              <c:extLst xmlns:c15="http://schemas.microsoft.com/office/drawing/2012/chart"/>
            </c:strRef>
          </c:tx>
          <c:spPr>
            <a:solidFill>
              <a:schemeClr val="accent4">
                <a:lumMod val="60000"/>
              </a:schemeClr>
            </a:solidFill>
            <a:ln>
              <a:noFill/>
            </a:ln>
            <a:effectLst/>
          </c:spPr>
          <c:invertIfNegative val="0"/>
          <c:cat>
            <c:strRef>
              <c:f>Historical_FTE!$D$89:$M$89</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Historical_FTE!$C$89:$M$89</c15:sqref>
                  </c15:fullRef>
                </c:ext>
              </c:extLst>
            </c:strRef>
          </c:cat>
          <c:val>
            <c:numRef>
              <c:f>Historical_FTE!$D$99:$M$99</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Historical_FTE!$C$99:$M$99</c15:sqref>
                  </c15:fullRef>
                </c:ext>
              </c:extLst>
            </c:numRef>
          </c:val>
        </c:ser>
        <c:ser>
          <c:idx val="10"/>
          <c:order val="9"/>
          <c:tx>
            <c:strRef>
              <c:f>Historical_FTE!$B$100</c:f>
              <c:strCache>
                <c:ptCount val="1"/>
                <c:pt idx="0">
                  <c:v>Role 7</c:v>
                </c:pt>
              </c:strCache>
              <c:extLst xmlns:c15="http://schemas.microsoft.com/office/drawing/2012/chart"/>
            </c:strRef>
          </c:tx>
          <c:spPr>
            <a:solidFill>
              <a:schemeClr val="accent5">
                <a:lumMod val="60000"/>
              </a:schemeClr>
            </a:solidFill>
            <a:ln>
              <a:noFill/>
            </a:ln>
            <a:effectLst/>
          </c:spPr>
          <c:invertIfNegative val="0"/>
          <c:cat>
            <c:strRef>
              <c:f>Historical_FTE!$D$89:$M$89</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Historical_FTE!$C$89:$M$89</c15:sqref>
                  </c15:fullRef>
                </c:ext>
              </c:extLst>
            </c:strRef>
          </c:cat>
          <c:val>
            <c:numRef>
              <c:f>Historical_FTE!$D$100:$M$100</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Historical_FTE!$C$100:$M$100</c15:sqref>
                  </c15:fullRef>
                </c:ext>
              </c:extLst>
            </c:numRef>
          </c:val>
        </c:ser>
        <c:ser>
          <c:idx val="11"/>
          <c:order val="10"/>
          <c:tx>
            <c:strRef>
              <c:f>Historical_FTE!$B$101</c:f>
              <c:strCache>
                <c:ptCount val="1"/>
                <c:pt idx="0">
                  <c:v>Role 8</c:v>
                </c:pt>
              </c:strCache>
              <c:extLst xmlns:c15="http://schemas.microsoft.com/office/drawing/2012/chart"/>
            </c:strRef>
          </c:tx>
          <c:spPr>
            <a:solidFill>
              <a:schemeClr val="accent6">
                <a:lumMod val="60000"/>
              </a:schemeClr>
            </a:solidFill>
            <a:ln>
              <a:noFill/>
            </a:ln>
            <a:effectLst/>
          </c:spPr>
          <c:invertIfNegative val="0"/>
          <c:cat>
            <c:strRef>
              <c:f>Historical_FTE!$D$89:$M$89</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Historical_FTE!$C$89:$M$89</c15:sqref>
                  </c15:fullRef>
                </c:ext>
              </c:extLst>
            </c:strRef>
          </c:cat>
          <c:val>
            <c:numRef>
              <c:f>Historical_FTE!$D$101:$M$101</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Historical_FTE!$C$101:$M$101</c15:sqref>
                  </c15:fullRef>
                </c:ext>
              </c:extLst>
            </c:numRef>
          </c:val>
        </c:ser>
        <c:ser>
          <c:idx val="12"/>
          <c:order val="11"/>
          <c:tx>
            <c:strRef>
              <c:f>Historical_FTE!$B$102</c:f>
              <c:strCache>
                <c:ptCount val="1"/>
                <c:pt idx="0">
                  <c:v>Role 9</c:v>
                </c:pt>
              </c:strCache>
              <c:extLst xmlns:c15="http://schemas.microsoft.com/office/drawing/2012/chart"/>
            </c:strRef>
          </c:tx>
          <c:spPr>
            <a:solidFill>
              <a:schemeClr val="accent1">
                <a:lumMod val="80000"/>
                <a:lumOff val="20000"/>
              </a:schemeClr>
            </a:solidFill>
            <a:ln>
              <a:noFill/>
            </a:ln>
            <a:effectLst/>
          </c:spPr>
          <c:invertIfNegative val="0"/>
          <c:cat>
            <c:strRef>
              <c:f>Historical_FTE!$D$89:$M$89</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Historical_FTE!$C$89:$M$89</c15:sqref>
                  </c15:fullRef>
                </c:ext>
              </c:extLst>
            </c:strRef>
          </c:cat>
          <c:val>
            <c:numRef>
              <c:f>Historical_FTE!$D$102:$M$102</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Historical_FTE!$C$102:$M$102</c15:sqref>
                  </c15:fullRef>
                </c:ext>
              </c:extLst>
            </c:numRef>
          </c:val>
        </c:ser>
        <c:ser>
          <c:idx val="13"/>
          <c:order val="12"/>
          <c:tx>
            <c:strRef>
              <c:f>Historical_FTE!$B$103</c:f>
              <c:strCache>
                <c:ptCount val="1"/>
                <c:pt idx="0">
                  <c:v>Role 10</c:v>
                </c:pt>
              </c:strCache>
              <c:extLst xmlns:c15="http://schemas.microsoft.com/office/drawing/2012/chart"/>
            </c:strRef>
          </c:tx>
          <c:spPr>
            <a:solidFill>
              <a:schemeClr val="accent2">
                <a:lumMod val="80000"/>
                <a:lumOff val="20000"/>
              </a:schemeClr>
            </a:solidFill>
            <a:ln>
              <a:noFill/>
            </a:ln>
            <a:effectLst/>
          </c:spPr>
          <c:invertIfNegative val="0"/>
          <c:cat>
            <c:strRef>
              <c:f>Historical_FTE!$D$89:$M$89</c:f>
              <c:strCache>
                <c:ptCount val="10"/>
                <c:pt idx="0">
                  <c:v>Year 1</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Historical_FTE!$C$89:$M$89</c15:sqref>
                  </c15:fullRef>
                </c:ext>
              </c:extLst>
            </c:strRef>
          </c:cat>
          <c:val>
            <c:numRef>
              <c:f>Historical_FTE!$D$103:$M$103</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Historical_FTE!$C$103:$M$103</c15:sqref>
                  </c15:fullRef>
                </c:ext>
              </c:extLst>
            </c:numRef>
          </c:val>
        </c:ser>
        <c:dLbls>
          <c:showLegendKey val="0"/>
          <c:showVal val="0"/>
          <c:showCatName val="0"/>
          <c:showSerName val="0"/>
          <c:showPercent val="0"/>
          <c:showBubbleSize val="0"/>
        </c:dLbls>
        <c:gapWidth val="150"/>
        <c:overlap val="100"/>
        <c:axId val="88253952"/>
        <c:axId val="88255488"/>
        <c:extLst>
          <c:ext xmlns:c15="http://schemas.microsoft.com/office/drawing/2012/chart" uri="{02D57815-91ED-43cb-92C2-25804820EDAC}">
            <c15:filteredBarSeries>
              <c15:ser>
                <c:idx val="0"/>
                <c:order val="0"/>
                <c:tx>
                  <c:strRef>
                    <c:extLst>
                      <c:ext uri="{02D57815-91ED-43cb-92C2-25804820EDAC}">
                        <c15:formulaRef>
                          <c15:sqref>Historical_FTE!$B$90</c15:sqref>
                        </c15:formulaRef>
                      </c:ext>
                    </c:extLst>
                    <c:strCache>
                      <c:ptCount val="1"/>
                      <c:pt idx="0">
                        <c:v>All figures in USD</c:v>
                      </c:pt>
                    </c:strCache>
                  </c:strRef>
                </c:tx>
                <c:spPr>
                  <a:solidFill>
                    <a:schemeClr val="accent1"/>
                  </a:solidFill>
                  <a:ln>
                    <a:noFill/>
                  </a:ln>
                  <a:effectLst/>
                </c:spPr>
                <c:invertIfNegative val="0"/>
                <c:cat>
                  <c:strRef>
                    <c:extLst>
                      <c:ext uri="{02D57815-91ED-43cb-92C2-25804820EDAC}">
                        <c15:fullRef>
                          <c15:sqref>Historical_FTE!$C$89:$M$89</c15:sqref>
                        </c15:fullRef>
                        <c15:formulaRef>
                          <c15:sqref>Historical_FTE!$D$89:$M$89</c15:sqref>
                        </c15:formulaRef>
                      </c:ext>
                    </c:extLst>
                    <c:strCache>
                      <c:ptCount val="10"/>
                      <c:pt idx="0">
                        <c:v>Year 1</c:v>
                      </c:pt>
                      <c:pt idx="1">
                        <c:v>Year 2</c:v>
                      </c:pt>
                      <c:pt idx="2">
                        <c:v>Year 3</c:v>
                      </c:pt>
                      <c:pt idx="3">
                        <c:v>Year 4</c:v>
                      </c:pt>
                      <c:pt idx="4">
                        <c:v>Year 5</c:v>
                      </c:pt>
                      <c:pt idx="5">
                        <c:v>Year 6 </c:v>
                      </c:pt>
                      <c:pt idx="6">
                        <c:v>Year 7</c:v>
                      </c:pt>
                      <c:pt idx="7">
                        <c:v>Year 8</c:v>
                      </c:pt>
                      <c:pt idx="8">
                        <c:v>Year 9</c:v>
                      </c:pt>
                      <c:pt idx="9">
                        <c:v>Year 10</c:v>
                      </c:pt>
                    </c:strCache>
                  </c:strRef>
                </c:cat>
                <c:val>
                  <c:numRef>
                    <c:extLst>
                      <c:ext uri="{02D57815-91ED-43cb-92C2-25804820EDAC}">
                        <c15:fullRef>
                          <c15:sqref>Historical_FTE!$C$90:$M$90</c15:sqref>
                        </c15:fullRef>
                        <c15:formulaRef>
                          <c15:sqref>Historical_FTE!$D$90:$M$90</c15:sqref>
                        </c15:formulaRef>
                      </c:ext>
                    </c:extLst>
                    <c:numCache>
                      <c:formatCode>General</c:formatCode>
                      <c:ptCount val="10"/>
                    </c:numCache>
                  </c:numRef>
                </c:val>
              </c15:ser>
            </c15:filteredBarSeries>
          </c:ext>
        </c:extLst>
      </c:barChart>
      <c:catAx>
        <c:axId val="8825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8255488"/>
        <c:crosses val="autoZero"/>
        <c:auto val="1"/>
        <c:lblAlgn val="ctr"/>
        <c:lblOffset val="100"/>
        <c:noMultiLvlLbl val="0"/>
      </c:catAx>
      <c:valAx>
        <c:axId val="88255488"/>
        <c:scaling>
          <c:orientation val="minMax"/>
        </c:scaling>
        <c:delete val="0"/>
        <c:axPos val="l"/>
        <c:majorGridlines>
          <c:spPr>
            <a:ln w="3175" cap="flat" cmpd="sng" algn="ctr">
              <a:solidFill>
                <a:srgbClr val="D9D9D9"/>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Spend on FTEs</a:t>
                </a:r>
              </a:p>
            </c:rich>
          </c:tx>
          <c:layout>
            <c:manualLayout>
              <c:xMode val="edge"/>
              <c:yMode val="edge"/>
              <c:x val="4.6541183817153985E-3"/>
              <c:y val="0.28916447444621268"/>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8253952"/>
        <c:crosses val="autoZero"/>
        <c:crossBetween val="between"/>
      </c:valAx>
      <c:spPr>
        <a:noFill/>
        <a:ln>
          <a:noFill/>
        </a:ln>
        <a:effectLst/>
      </c:spPr>
    </c:plotArea>
    <c:legend>
      <c:legendPos val="b"/>
      <c:layout>
        <c:manualLayout>
          <c:xMode val="edge"/>
          <c:yMode val="edge"/>
          <c:x val="4.1452803208483241E-2"/>
          <c:y val="0.7893336809242707"/>
          <c:w val="0.92174851196474894"/>
          <c:h val="0.174679322566042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i="0" baseline="0">
                <a:effectLst/>
              </a:rPr>
              <a:t>All FTEs, Count by Year</a:t>
            </a:r>
          </a:p>
          <a:p>
            <a:pPr>
              <a:defRPr sz="1100" b="0" i="0" u="none" strike="noStrike" kern="1200" spc="0" baseline="0">
                <a:solidFill>
                  <a:schemeClr val="tx1">
                    <a:lumMod val="65000"/>
                    <a:lumOff val="35000"/>
                  </a:schemeClr>
                </a:solidFill>
                <a:latin typeface="+mn-lt"/>
                <a:ea typeface="+mn-ea"/>
                <a:cs typeface="+mn-cs"/>
              </a:defRPr>
            </a:pPr>
            <a:r>
              <a:rPr lang="en-US" sz="1100" b="0" i="0" baseline="0">
                <a:effectLst/>
              </a:rPr>
              <a:t>Results of </a:t>
            </a:r>
            <a:r>
              <a:rPr lang="en-US" sz="1100" b="0" i="0" u="none" strike="noStrike" baseline="0">
                <a:effectLst/>
              </a:rPr>
              <a:t>Historical FTE-based cost estimate</a:t>
            </a:r>
            <a:endParaRPr lang="en-US" sz="1100">
              <a:effectLst/>
            </a:endParaRPr>
          </a:p>
        </c:rich>
      </c:tx>
      <c:layout>
        <c:manualLayout>
          <c:xMode val="edge"/>
          <c:yMode val="edge"/>
          <c:x val="0.24174865122183434"/>
          <c:y val="1.7993498254843192E-2"/>
        </c:manualLayout>
      </c:layout>
      <c:overlay val="0"/>
      <c:spPr>
        <a:noFill/>
        <a:ln>
          <a:noFill/>
        </a:ln>
        <a:effectLst/>
      </c:spPr>
    </c:title>
    <c:autoTitleDeleted val="0"/>
    <c:plotArea>
      <c:layout>
        <c:manualLayout>
          <c:layoutTarget val="inner"/>
          <c:xMode val="edge"/>
          <c:yMode val="edge"/>
          <c:x val="0.10250897292036033"/>
          <c:y val="0.20131359621314787"/>
          <c:w val="0.871893375980205"/>
          <c:h val="0.52368022294936101"/>
        </c:manualLayout>
      </c:layout>
      <c:barChart>
        <c:barDir val="col"/>
        <c:grouping val="stacked"/>
        <c:varyColors val="0"/>
        <c:ser>
          <c:idx val="1"/>
          <c:order val="0"/>
          <c:tx>
            <c:strRef>
              <c:f>Historical_FTE!$B$83</c:f>
              <c:strCache>
                <c:ptCount val="1"/>
                <c:pt idx="0">
                  <c:v>Directly Paid</c:v>
                </c:pt>
              </c:strCache>
            </c:strRef>
          </c:tx>
          <c:spPr>
            <a:solidFill>
              <a:srgbClr val="006600"/>
            </a:solidFill>
            <a:ln>
              <a:noFill/>
            </a:ln>
            <a:effectLst/>
          </c:spPr>
          <c:invertIfNegative val="0"/>
          <c:cat>
            <c:strRef>
              <c:f>Historical_FTE!$D$81:$M$81</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Historical_FTE!$C$81:$M$81</c15:sqref>
                  </c15:fullRef>
                </c:ext>
              </c:extLst>
            </c:strRef>
          </c:cat>
          <c:val>
            <c:numRef>
              <c:f>Historical_FTE!$D$83:$M$83</c:f>
              <c:numCache>
                <c:formatCode>#,##0.0_);\(#,##0.0\)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Historical_FTE!$C$83:$M$83</c15:sqref>
                  </c15:fullRef>
                </c:ext>
              </c:extLst>
            </c:numRef>
          </c:val>
        </c:ser>
        <c:ser>
          <c:idx val="2"/>
          <c:order val="1"/>
          <c:tx>
            <c:strRef>
              <c:f>Historical_FTE!$B$84</c:f>
              <c:strCache>
                <c:ptCount val="1"/>
                <c:pt idx="0">
                  <c:v>Indirectly paid or free</c:v>
                </c:pt>
              </c:strCache>
            </c:strRef>
          </c:tx>
          <c:spPr>
            <a:solidFill>
              <a:srgbClr val="06C245"/>
            </a:solidFill>
            <a:ln>
              <a:noFill/>
            </a:ln>
            <a:effectLst/>
          </c:spPr>
          <c:invertIfNegative val="0"/>
          <c:cat>
            <c:strRef>
              <c:f>Historical_FTE!$D$81:$M$81</c:f>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extLst>
                <c:ext xmlns:c15="http://schemas.microsoft.com/office/drawing/2012/chart" uri="{02D57815-91ED-43cb-92C2-25804820EDAC}">
                  <c15:fullRef>
                    <c15:sqref>Historical_FTE!$C$81:$M$81</c15:sqref>
                  </c15:fullRef>
                </c:ext>
              </c:extLst>
            </c:strRef>
          </c:cat>
          <c:val>
            <c:numRef>
              <c:f>Historical_FTE!$D$84:$M$84</c:f>
              <c:numCache>
                <c:formatCode>#,##0.0_);\(#,##0.0\)</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Historical_FTE!$C$84:$M$84</c15:sqref>
                  </c15:fullRef>
                </c:ext>
              </c:extLst>
            </c:numRef>
          </c:val>
        </c:ser>
        <c:dLbls>
          <c:showLegendKey val="0"/>
          <c:showVal val="0"/>
          <c:showCatName val="0"/>
          <c:showSerName val="0"/>
          <c:showPercent val="0"/>
          <c:showBubbleSize val="0"/>
        </c:dLbls>
        <c:gapWidth val="150"/>
        <c:overlap val="100"/>
        <c:axId val="88685184"/>
        <c:axId val="88691072"/>
        <c:extLst>
          <c:ext xmlns:c15="http://schemas.microsoft.com/office/drawing/2012/chart" uri="{02D57815-91ED-43cb-92C2-25804820EDAC}">
            <c15:filteredBarSeries>
              <c15:ser>
                <c:idx val="0"/>
                <c:order val="0"/>
                <c:tx>
                  <c:strRef>
                    <c:extLst>
                      <c:ext uri="{02D57815-91ED-43cb-92C2-25804820EDAC}">
                        <c15:formulaRef>
                          <c15:sqref>Historical_FTE!$B$82</c15:sqref>
                        </c15:formulaRef>
                      </c:ext>
                    </c:extLst>
                    <c:strCache>
                      <c:ptCount val="1"/>
                    </c:strCache>
                  </c:strRef>
                </c:tx>
                <c:spPr>
                  <a:solidFill>
                    <a:schemeClr val="accent1"/>
                  </a:solidFill>
                  <a:ln>
                    <a:noFill/>
                  </a:ln>
                  <a:effectLst/>
                </c:spPr>
                <c:invertIfNegative val="0"/>
                <c:cat>
                  <c:strRef>
                    <c:extLst>
                      <c:ext uri="{02D57815-91ED-43cb-92C2-25804820EDAC}">
                        <c15:fullRef>
                          <c15:sqref>Historical_FTE!$C$81:$M$81</c15:sqref>
                        </c15:fullRef>
                        <c15:formulaRef>
                          <c15:sqref>Historical_FTE!$D$81:$M$81</c15:sqref>
                        </c15:formulaRef>
                      </c:ext>
                    </c:extLst>
                    <c:strCache>
                      <c:ptCount val="10"/>
                      <c:pt idx="0">
                        <c:v>Year 1 </c:v>
                      </c:pt>
                      <c:pt idx="1">
                        <c:v>Year 2</c:v>
                      </c:pt>
                      <c:pt idx="2">
                        <c:v>Year 3</c:v>
                      </c:pt>
                      <c:pt idx="3">
                        <c:v>Year 4</c:v>
                      </c:pt>
                      <c:pt idx="4">
                        <c:v>Year 5</c:v>
                      </c:pt>
                      <c:pt idx="5">
                        <c:v>Year 6 </c:v>
                      </c:pt>
                      <c:pt idx="6">
                        <c:v>Year 7</c:v>
                      </c:pt>
                      <c:pt idx="7">
                        <c:v>Year 8</c:v>
                      </c:pt>
                      <c:pt idx="8">
                        <c:v>Year 9</c:v>
                      </c:pt>
                      <c:pt idx="9">
                        <c:v>Year 10</c:v>
                      </c:pt>
                    </c:strCache>
                  </c:strRef>
                </c:cat>
                <c:val>
                  <c:numRef>
                    <c:extLst>
                      <c:ext uri="{02D57815-91ED-43cb-92C2-25804820EDAC}">
                        <c15:fullRef>
                          <c15:sqref>Historical_FTE!$C$82:$M$82</c15:sqref>
                        </c15:fullRef>
                        <c15:formulaRef>
                          <c15:sqref>Historical_FTE!$D$82:$M$82</c15:sqref>
                        </c15:formulaRef>
                      </c:ext>
                    </c:extLst>
                    <c:numCache>
                      <c:formatCode>General</c:formatCode>
                      <c:ptCount val="10"/>
                      <c:pt idx="0">
                        <c:v>0</c:v>
                      </c:pt>
                    </c:numCache>
                  </c:numRef>
                </c:val>
              </c15:ser>
            </c15:filteredBarSeries>
          </c:ext>
        </c:extLst>
      </c:barChart>
      <c:catAx>
        <c:axId val="8868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8691072"/>
        <c:crosses val="autoZero"/>
        <c:auto val="1"/>
        <c:lblAlgn val="ctr"/>
        <c:lblOffset val="100"/>
        <c:noMultiLvlLbl val="0"/>
      </c:catAx>
      <c:valAx>
        <c:axId val="88691072"/>
        <c:scaling>
          <c:orientation val="minMax"/>
        </c:scaling>
        <c:delete val="0"/>
        <c:axPos val="l"/>
        <c:majorGridlines>
          <c:spPr>
            <a:ln w="3175" cap="flat" cmpd="sng" algn="ctr">
              <a:solidFill>
                <a:srgbClr val="D9D9D9"/>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Avg. Number of FTEs</a:t>
                </a:r>
              </a:p>
            </c:rich>
          </c:tx>
          <c:layout>
            <c:manualLayout>
              <c:xMode val="edge"/>
              <c:yMode val="edge"/>
              <c:x val="4.6541183817153985E-3"/>
              <c:y val="0.28916447444621268"/>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8685184"/>
        <c:crosses val="autoZero"/>
        <c:crossBetween val="between"/>
      </c:valAx>
      <c:spPr>
        <a:noFill/>
        <a:ln>
          <a:noFill/>
        </a:ln>
        <a:effectLst/>
      </c:spPr>
    </c:plotArea>
    <c:legend>
      <c:legendPos val="b"/>
      <c:layout>
        <c:manualLayout>
          <c:xMode val="edge"/>
          <c:yMode val="edge"/>
          <c:x val="0.12988105246107581"/>
          <c:y val="0.8073271791791139"/>
          <c:w val="0.75652730941385227"/>
          <c:h val="0.1656825734386212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i="0" u="none" strike="noStrike" baseline="0">
                <a:effectLst/>
              </a:rPr>
              <a:t>All </a:t>
            </a:r>
            <a:r>
              <a:rPr lang="en-US" sz="1100" b="1" i="0" baseline="0">
                <a:effectLst/>
              </a:rPr>
              <a:t>FTEs, Value of Labor by Year</a:t>
            </a:r>
            <a:endParaRPr lang="en-US" sz="1100" b="1">
              <a:effectLst/>
            </a:endParaRPr>
          </a:p>
          <a:p>
            <a:pPr>
              <a:defRPr sz="1100" b="0" i="0" u="none" strike="noStrike" kern="1200" spc="0" baseline="0">
                <a:solidFill>
                  <a:schemeClr val="tx1">
                    <a:lumMod val="65000"/>
                    <a:lumOff val="35000"/>
                  </a:schemeClr>
                </a:solidFill>
                <a:latin typeface="+mn-lt"/>
                <a:ea typeface="+mn-ea"/>
                <a:cs typeface="+mn-cs"/>
              </a:defRPr>
            </a:pPr>
            <a:r>
              <a:rPr lang="en-US" sz="1100" b="0" i="0" baseline="0">
                <a:effectLst/>
              </a:rPr>
              <a:t>Results of Historical FTE-based cost estimate</a:t>
            </a:r>
            <a:endParaRPr lang="en-US" sz="1100">
              <a:effectLst/>
            </a:endParaRPr>
          </a:p>
        </c:rich>
      </c:tx>
      <c:layout>
        <c:manualLayout>
          <c:xMode val="edge"/>
          <c:yMode val="edge"/>
          <c:x val="0.26382089926362318"/>
          <c:y val="1.3495123691132394E-2"/>
        </c:manualLayout>
      </c:layout>
      <c:overlay val="0"/>
      <c:spPr>
        <a:noFill/>
        <a:ln>
          <a:noFill/>
        </a:ln>
        <a:effectLst/>
      </c:spPr>
    </c:title>
    <c:autoTitleDeleted val="0"/>
    <c:plotArea>
      <c:layout>
        <c:manualLayout>
          <c:layoutTarget val="inner"/>
          <c:xMode val="edge"/>
          <c:yMode val="edge"/>
          <c:x val="0.17426496146139756"/>
          <c:y val="0.20581197077685862"/>
          <c:w val="0.80279722011306476"/>
          <c:h val="0.52368022294936101"/>
        </c:manualLayout>
      </c:layout>
      <c:barChart>
        <c:barDir val="col"/>
        <c:grouping val="stacked"/>
        <c:varyColors val="0"/>
        <c:ser>
          <c:idx val="1"/>
          <c:order val="0"/>
          <c:tx>
            <c:strRef>
              <c:f>Historical_FTE!$B$129</c:f>
              <c:strCache>
                <c:ptCount val="1"/>
                <c:pt idx="0">
                  <c:v>Directly Paid</c:v>
                </c:pt>
              </c:strCache>
            </c:strRef>
          </c:tx>
          <c:spPr>
            <a:solidFill>
              <a:srgbClr val="006600"/>
            </a:solidFill>
            <a:ln>
              <a:noFill/>
            </a:ln>
            <a:effectLst/>
          </c:spPr>
          <c:invertIfNegative val="0"/>
          <c:cat>
            <c:strRef>
              <c:f>Historical_FTE!$D$127:$M$127</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extLst>
                <c:ext xmlns:c15="http://schemas.microsoft.com/office/drawing/2012/chart" uri="{02D57815-91ED-43cb-92C2-25804820EDAC}">
                  <c15:fullRef>
                    <c15:sqref>Historical_FTE!$C$127:$M$127</c15:sqref>
                  </c15:fullRef>
                </c:ext>
              </c:extLst>
            </c:strRef>
          </c:cat>
          <c:val>
            <c:numRef>
              <c:f>Historical_FTE!$D$129:$M$129</c:f>
              <c:numCache>
                <c:formatCode>_([$$-409]* #,##0_);_([$$-409]* \(#,##0\);_([$$-409]*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Historical_FTE!$C$129:$M$129</c15:sqref>
                  </c15:fullRef>
                </c:ext>
              </c:extLst>
            </c:numRef>
          </c:val>
        </c:ser>
        <c:ser>
          <c:idx val="2"/>
          <c:order val="1"/>
          <c:tx>
            <c:strRef>
              <c:f>Historical_FTE!$B$130</c:f>
              <c:strCache>
                <c:ptCount val="1"/>
                <c:pt idx="0">
                  <c:v>Indirectly paid or free</c:v>
                </c:pt>
              </c:strCache>
            </c:strRef>
          </c:tx>
          <c:spPr>
            <a:solidFill>
              <a:srgbClr val="06C245"/>
            </a:solidFill>
            <a:ln>
              <a:noFill/>
            </a:ln>
            <a:effectLst/>
          </c:spPr>
          <c:invertIfNegative val="0"/>
          <c:cat>
            <c:strRef>
              <c:f>Historical_FTE!$D$127:$M$127</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extLst>
                <c:ext xmlns:c15="http://schemas.microsoft.com/office/drawing/2012/chart" uri="{02D57815-91ED-43cb-92C2-25804820EDAC}">
                  <c15:fullRef>
                    <c15:sqref>Historical_FTE!$C$127:$M$127</c15:sqref>
                  </c15:fullRef>
                </c:ext>
              </c:extLst>
            </c:strRef>
          </c:cat>
          <c:val>
            <c:numRef>
              <c:f>Historical_FTE!$D$130:$M$130</c:f>
              <c:numCache>
                <c:formatCode>_(* #,##0_);_(* \(#,##0\);_(* "-"??_);_(@_)</c:formatCode>
                <c:ptCount val="10"/>
                <c:pt idx="0">
                  <c:v>0</c:v>
                </c:pt>
                <c:pt idx="1">
                  <c:v>0</c:v>
                </c:pt>
                <c:pt idx="2">
                  <c:v>0</c:v>
                </c:pt>
                <c:pt idx="3">
                  <c:v>0</c:v>
                </c:pt>
                <c:pt idx="4">
                  <c:v>0</c:v>
                </c:pt>
                <c:pt idx="5">
                  <c:v>0</c:v>
                </c:pt>
                <c:pt idx="6">
                  <c:v>0</c:v>
                </c:pt>
                <c:pt idx="7">
                  <c:v>0</c:v>
                </c:pt>
                <c:pt idx="8">
                  <c:v>0</c:v>
                </c:pt>
                <c:pt idx="9">
                  <c:v>0</c:v>
                </c:pt>
              </c:numCache>
              <c:extLst>
                <c:ext xmlns:c15="http://schemas.microsoft.com/office/drawing/2012/chart" uri="{02D57815-91ED-43cb-92C2-25804820EDAC}">
                  <c15:fullRef>
                    <c15:sqref>Historical_FTE!$C$130:$M$130</c15:sqref>
                  </c15:fullRef>
                </c:ext>
              </c:extLst>
            </c:numRef>
          </c:val>
        </c:ser>
        <c:dLbls>
          <c:showLegendKey val="0"/>
          <c:showVal val="0"/>
          <c:showCatName val="0"/>
          <c:showSerName val="0"/>
          <c:showPercent val="0"/>
          <c:showBubbleSize val="0"/>
        </c:dLbls>
        <c:gapWidth val="150"/>
        <c:overlap val="100"/>
        <c:axId val="88722432"/>
        <c:axId val="88408832"/>
        <c:extLst>
          <c:ext xmlns:c15="http://schemas.microsoft.com/office/drawing/2012/chart" uri="{02D57815-91ED-43cb-92C2-25804820EDAC}">
            <c15:filteredBarSeries>
              <c15:ser>
                <c:idx val="0"/>
                <c:order val="0"/>
                <c:tx>
                  <c:strRef>
                    <c:extLst>
                      <c:ext uri="{02D57815-91ED-43cb-92C2-25804820EDAC}">
                        <c15:formulaRef>
                          <c15:sqref>Historical_FTE!$B$128</c15:sqref>
                        </c15:formulaRef>
                      </c:ext>
                    </c:extLst>
                    <c:strCache>
                      <c:ptCount val="1"/>
                      <c:pt idx="0">
                        <c:v>All figures in USD</c:v>
                      </c:pt>
                    </c:strCache>
                  </c:strRef>
                </c:tx>
                <c:spPr>
                  <a:solidFill>
                    <a:schemeClr val="accent1"/>
                  </a:solidFill>
                  <a:ln>
                    <a:noFill/>
                  </a:ln>
                  <a:effectLst/>
                </c:spPr>
                <c:invertIfNegative val="0"/>
                <c:cat>
                  <c:strRef>
                    <c:extLst>
                      <c:ext uri="{02D57815-91ED-43cb-92C2-25804820EDAC}">
                        <c15:fullRef>
                          <c15:sqref>Historical_FTE!$C$127:$M$127</c15:sqref>
                        </c15:fullRef>
                        <c15:formulaRef>
                          <c15:sqref>Historical_FTE!$D$127:$M$127</c15:sqref>
                        </c15:formulaRef>
                      </c:ext>
                    </c:extLst>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extLst>
                      <c:ext uri="{02D57815-91ED-43cb-92C2-25804820EDAC}">
                        <c15:fullRef>
                          <c15:sqref>Historical_FTE!$C$128:$M$128</c15:sqref>
                        </c15:fullRef>
                        <c15:formulaRef>
                          <c15:sqref>Historical_FTE!$D$128:$M$128</c15:sqref>
                        </c15:formulaRef>
                      </c:ext>
                    </c:extLst>
                    <c:numCache>
                      <c:formatCode>General</c:formatCode>
                      <c:ptCount val="10"/>
                    </c:numCache>
                  </c:numRef>
                </c:val>
              </c15:ser>
            </c15:filteredBarSeries>
          </c:ext>
        </c:extLst>
      </c:barChart>
      <c:catAx>
        <c:axId val="8872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8408832"/>
        <c:crosses val="autoZero"/>
        <c:auto val="1"/>
        <c:lblAlgn val="ctr"/>
        <c:lblOffset val="100"/>
        <c:noMultiLvlLbl val="0"/>
      </c:catAx>
      <c:valAx>
        <c:axId val="88408832"/>
        <c:scaling>
          <c:orientation val="minMax"/>
        </c:scaling>
        <c:delete val="0"/>
        <c:axPos val="l"/>
        <c:majorGridlines>
          <c:spPr>
            <a:ln w="3175" cap="flat" cmpd="sng" algn="ctr">
              <a:solidFill>
                <a:srgbClr val="D9D9D9"/>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Value</a:t>
                </a:r>
                <a:r>
                  <a:rPr lang="en-US" baseline="0"/>
                  <a:t> of s</a:t>
                </a:r>
                <a:r>
                  <a:rPr lang="en-US"/>
                  <a:t>pend and donated labor </a:t>
                </a:r>
              </a:p>
            </c:rich>
          </c:tx>
          <c:layout>
            <c:manualLayout>
              <c:xMode val="edge"/>
              <c:yMode val="edge"/>
              <c:x val="2.3270591908576992E-3"/>
              <c:y val="0.1567796880324109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8722432"/>
        <c:crosses val="autoZero"/>
        <c:crossBetween val="between"/>
      </c:valAx>
      <c:spPr>
        <a:noFill/>
        <a:ln>
          <a:noFill/>
        </a:ln>
        <a:effectLst/>
      </c:spPr>
    </c:plotArea>
    <c:legend>
      <c:legendPos val="b"/>
      <c:layout>
        <c:manualLayout>
          <c:xMode val="edge"/>
          <c:yMode val="edge"/>
          <c:x val="4.1452803208483241E-2"/>
          <c:y val="0.7893336809242707"/>
          <c:w val="0.92174851196474894"/>
          <c:h val="0.1746793225660428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16962</xdr:colOff>
      <xdr:row>0</xdr:row>
      <xdr:rowOff>8824</xdr:rowOff>
    </xdr:from>
    <xdr:to>
      <xdr:col>2</xdr:col>
      <xdr:colOff>1009928</xdr:colOff>
      <xdr:row>6</xdr:row>
      <xdr:rowOff>59267</xdr:rowOff>
    </xdr:to>
    <xdr:pic>
      <xdr:nvPicPr>
        <xdr:cNvPr id="2" name="Picture 1"/>
        <xdr:cNvPicPr>
          <a:picLocks noChangeAspect="1"/>
        </xdr:cNvPicPr>
      </xdr:nvPicPr>
      <xdr:blipFill rotWithShape="1">
        <a:blip xmlns:r="http://schemas.openxmlformats.org/officeDocument/2006/relationships" r:embed="rId1"/>
        <a:srcRect l="11533" t="17681" r="11533" b="17681"/>
        <a:stretch/>
      </xdr:blipFill>
      <xdr:spPr>
        <a:xfrm>
          <a:off x="16962" y="8824"/>
          <a:ext cx="1958166" cy="11680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5</xdr:row>
      <xdr:rowOff>114300</xdr:rowOff>
    </xdr:from>
    <xdr:to>
      <xdr:col>4</xdr:col>
      <xdr:colOff>704850</xdr:colOff>
      <xdr:row>8</xdr:row>
      <xdr:rowOff>0</xdr:rowOff>
    </xdr:to>
    <xdr:sp macro="" textlink="">
      <xdr:nvSpPr>
        <xdr:cNvPr id="2" name="TextBox 1"/>
        <xdr:cNvSpPr txBox="1"/>
      </xdr:nvSpPr>
      <xdr:spPr>
        <a:xfrm>
          <a:off x="368300" y="1035050"/>
          <a:ext cx="4749800" cy="438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Suggest USAID</a:t>
          </a:r>
          <a:r>
            <a:rPr lang="en-US" sz="1100" baseline="0">
              <a:solidFill>
                <a:srgbClr val="FF0000"/>
              </a:solidFill>
            </a:rPr>
            <a:t> write in the first change as below (with new date and published model name) when published to serve as a template for future users.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11581</xdr:colOff>
      <xdr:row>7</xdr:row>
      <xdr:rowOff>120193</xdr:rowOff>
    </xdr:from>
    <xdr:to>
      <xdr:col>10</xdr:col>
      <xdr:colOff>611843</xdr:colOff>
      <xdr:row>24</xdr:row>
      <xdr:rowOff>92363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9430</xdr:colOff>
      <xdr:row>8</xdr:row>
      <xdr:rowOff>141475</xdr:rowOff>
    </xdr:from>
    <xdr:to>
      <xdr:col>11</xdr:col>
      <xdr:colOff>74706</xdr:colOff>
      <xdr:row>29</xdr:row>
      <xdr:rowOff>97116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279400</xdr:colOff>
      <xdr:row>45</xdr:row>
      <xdr:rowOff>25400</xdr:rowOff>
    </xdr:from>
    <xdr:to>
      <xdr:col>9</xdr:col>
      <xdr:colOff>480626</xdr:colOff>
      <xdr:row>60</xdr:row>
      <xdr:rowOff>47171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562162</xdr:colOff>
      <xdr:row>45</xdr:row>
      <xdr:rowOff>32871</xdr:rowOff>
    </xdr:from>
    <xdr:to>
      <xdr:col>18</xdr:col>
      <xdr:colOff>515738</xdr:colOff>
      <xdr:row>60</xdr:row>
      <xdr:rowOff>54642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263525</xdr:colOff>
      <xdr:row>29</xdr:row>
      <xdr:rowOff>77694</xdr:rowOff>
    </xdr:from>
    <xdr:to>
      <xdr:col>9</xdr:col>
      <xdr:colOff>464751</xdr:colOff>
      <xdr:row>44</xdr:row>
      <xdr:rowOff>91995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562162</xdr:colOff>
      <xdr:row>29</xdr:row>
      <xdr:rowOff>85165</xdr:rowOff>
    </xdr:from>
    <xdr:to>
      <xdr:col>18</xdr:col>
      <xdr:colOff>515738</xdr:colOff>
      <xdr:row>44</xdr:row>
      <xdr:rowOff>99466</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255494</xdr:colOff>
      <xdr:row>13</xdr:row>
      <xdr:rowOff>149412</xdr:rowOff>
    </xdr:from>
    <xdr:to>
      <xdr:col>9</xdr:col>
      <xdr:colOff>456720</xdr:colOff>
      <xdr:row>28</xdr:row>
      <xdr:rowOff>171183</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541431</xdr:colOff>
      <xdr:row>13</xdr:row>
      <xdr:rowOff>147358</xdr:rowOff>
    </xdr:from>
    <xdr:to>
      <xdr:col>18</xdr:col>
      <xdr:colOff>492018</xdr:colOff>
      <xdr:row>28</xdr:row>
      <xdr:rowOff>169129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33</xdr:row>
      <xdr:rowOff>1</xdr:rowOff>
    </xdr:from>
    <xdr:to>
      <xdr:col>4</xdr:col>
      <xdr:colOff>3039534</xdr:colOff>
      <xdr:row>47</xdr:row>
      <xdr:rowOff>143934</xdr:rowOff>
    </xdr:to>
    <xdr:sp macro="" textlink="">
      <xdr:nvSpPr>
        <xdr:cNvPr id="2" name="TextBox 1"/>
        <xdr:cNvSpPr txBox="1"/>
      </xdr:nvSpPr>
      <xdr:spPr>
        <a:xfrm>
          <a:off x="279400" y="6637868"/>
          <a:ext cx="10244667" cy="2751666"/>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Discussion</a:t>
          </a:r>
          <a:r>
            <a:rPr lang="en-US" sz="1100" b="1" baseline="0">
              <a:solidFill>
                <a:schemeClr val="dk1"/>
              </a:solidFill>
              <a:effectLst/>
              <a:latin typeface="+mn-lt"/>
              <a:ea typeface="+mn-ea"/>
              <a:cs typeface="+mn-cs"/>
            </a:rPr>
            <a:t> on the approaches: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First, the approach to costing is different depending on whether exercise is intended to cost hypothetical,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new GG as</a:t>
          </a:r>
          <a:r>
            <a:rPr lang="en-US" sz="1100" baseline="0">
              <a:solidFill>
                <a:schemeClr val="dk1"/>
              </a:solidFill>
              <a:effectLst/>
              <a:latin typeface="+mn-lt"/>
              <a:ea typeface="+mn-ea"/>
              <a:cs typeface="+mn-cs"/>
            </a:rPr>
            <a:t> compared to an </a:t>
          </a:r>
          <a:r>
            <a:rPr lang="en-US" sz="1100">
              <a:solidFill>
                <a:schemeClr val="dk1"/>
              </a:solidFill>
              <a:effectLst/>
              <a:latin typeface="+mn-lt"/>
              <a:ea typeface="+mn-ea"/>
              <a:cs typeface="+mn-cs"/>
            </a:rPr>
            <a:t>existing GG. The</a:t>
          </a:r>
          <a:r>
            <a:rPr lang="en-US" sz="1100" baseline="0">
              <a:solidFill>
                <a:schemeClr val="dk1"/>
              </a:solidFill>
              <a:effectLst/>
              <a:latin typeface="+mn-lt"/>
              <a:ea typeface="+mn-ea"/>
              <a:cs typeface="+mn-cs"/>
            </a:rPr>
            <a:t> approaches differ due to the availability and increased specificity of historical and current data for existing global goods (size, complexity,  years to develop, FTE estimates, etc. </a:t>
          </a:r>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Estimating cost of an existing GG is relatively straightforward,</a:t>
          </a:r>
          <a:r>
            <a:rPr lang="en-US" sz="1100" b="1" baseline="0">
              <a:solidFill>
                <a:schemeClr val="dk1"/>
              </a:solidFill>
              <a:effectLst/>
              <a:latin typeface="+mn-lt"/>
              <a:ea typeface="+mn-ea"/>
              <a:cs typeface="+mn-cs"/>
            </a:rPr>
            <a:t> though it is not free from subjectivity. </a:t>
          </a:r>
          <a:r>
            <a:rPr lang="en-US" sz="1100" b="0" baseline="0">
              <a:solidFill>
                <a:schemeClr val="dk1"/>
              </a:solidFill>
              <a:effectLst/>
              <a:latin typeface="+mn-lt"/>
              <a:ea typeface="+mn-ea"/>
              <a:cs typeface="+mn-cs"/>
            </a:rPr>
            <a:t>It </a:t>
          </a:r>
          <a:r>
            <a:rPr lang="en-US" sz="1100">
              <a:solidFill>
                <a:schemeClr val="dk1"/>
              </a:solidFill>
              <a:effectLst/>
              <a:latin typeface="+mn-lt"/>
              <a:ea typeface="+mn-ea"/>
              <a:cs typeface="+mn-cs"/>
            </a:rPr>
            <a:t>requires judgment to triangulate cumulative development costs from different methods into a sensible range and simplify the deployment costing framework based on available data .</a:t>
          </a:r>
          <a:endParaRPr lang="en-US">
            <a:effectLst/>
          </a:endParaRPr>
        </a:p>
        <a:p>
          <a:r>
            <a:rPr lang="en-US" sz="1100" u="none">
              <a:solidFill>
                <a:schemeClr val="dk1"/>
              </a:solidFill>
              <a:effectLst/>
              <a:latin typeface="+mn-lt"/>
              <a:ea typeface="+mn-ea"/>
              <a:cs typeface="+mn-cs"/>
            </a:rPr>
            <a:t>  -</a:t>
          </a:r>
          <a:r>
            <a:rPr lang="en-US" sz="1100" u="none" baseline="0">
              <a:solidFill>
                <a:schemeClr val="dk1"/>
              </a:solidFill>
              <a:effectLst/>
              <a:latin typeface="+mn-lt"/>
              <a:ea typeface="+mn-ea"/>
              <a:cs typeface="+mn-cs"/>
            </a:rPr>
            <a:t>  </a:t>
          </a:r>
          <a:r>
            <a:rPr lang="en-US" sz="1100" u="sng">
              <a:solidFill>
                <a:schemeClr val="dk1"/>
              </a:solidFill>
              <a:effectLst/>
              <a:latin typeface="+mn-lt"/>
              <a:ea typeface="+mn-ea"/>
              <a:cs typeface="+mn-cs"/>
            </a:rPr>
            <a:t>Cumulative Development Cost</a:t>
          </a:r>
          <a:r>
            <a:rPr lang="en-US" sz="1100">
              <a:solidFill>
                <a:schemeClr val="dk1"/>
              </a:solidFill>
              <a:effectLst/>
              <a:latin typeface="+mn-lt"/>
              <a:ea typeface="+mn-ea"/>
              <a:cs typeface="+mn-cs"/>
            </a:rPr>
            <a:t> can be calculated three ways using FTE contributions, historical grants (revenue), and COCOMO (one of a variety of code-based methods)</a:t>
          </a:r>
          <a:endParaRPr lang="en-US">
            <a:effectLst/>
          </a:endParaRPr>
        </a:p>
        <a:p>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a:t>
          </a:r>
          <a:r>
            <a:rPr lang="en-US" sz="1100" u="sng">
              <a:solidFill>
                <a:schemeClr val="dk1"/>
              </a:solidFill>
              <a:effectLst/>
              <a:latin typeface="+mn-lt"/>
              <a:ea typeface="+mn-ea"/>
              <a:cs typeface="+mn-cs"/>
            </a:rPr>
            <a:t>Ongoing Development Cost</a:t>
          </a:r>
          <a:r>
            <a:rPr lang="en-US" sz="1100">
              <a:solidFill>
                <a:schemeClr val="dk1"/>
              </a:solidFill>
              <a:effectLst/>
              <a:latin typeface="+mn-lt"/>
              <a:ea typeface="+mn-ea"/>
              <a:cs typeface="+mn-cs"/>
            </a:rPr>
            <a:t> can be derived from market benchmarks</a:t>
          </a:r>
          <a:r>
            <a:rPr lang="en-US" sz="1100" baseline="0">
              <a:solidFill>
                <a:schemeClr val="dk1"/>
              </a:solidFill>
              <a:effectLst/>
              <a:latin typeface="+mn-lt"/>
              <a:ea typeface="+mn-ea"/>
              <a:cs typeface="+mn-cs"/>
            </a:rPr>
            <a:t> and/or </a:t>
          </a:r>
          <a:r>
            <a:rPr lang="en-US" sz="1100">
              <a:solidFill>
                <a:schemeClr val="dk1"/>
              </a:solidFill>
              <a:effectLst/>
              <a:latin typeface="+mn-lt"/>
              <a:ea typeface="+mn-ea"/>
              <a:cs typeface="+mn-cs"/>
            </a:rPr>
            <a:t>historical operating budgets</a:t>
          </a:r>
          <a:r>
            <a:rPr lang="en-US" sz="1100" baseline="0">
              <a:solidFill>
                <a:schemeClr val="dk1"/>
              </a:solidFill>
              <a:effectLst/>
              <a:latin typeface="+mn-lt"/>
              <a:ea typeface="+mn-ea"/>
              <a:cs typeface="+mn-cs"/>
            </a:rPr>
            <a:t> and/or anticipated major development spend/costs</a:t>
          </a:r>
          <a:endParaRPr lang="en-US">
            <a:effectLst/>
          </a:endParaRP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Estimating cost of a new GG requires technical expertise</a:t>
          </a:r>
        </a:p>
        <a:p>
          <a:pPr lvl="1"/>
          <a:r>
            <a:rPr lang="en-US" sz="1100" u="sng">
              <a:solidFill>
                <a:schemeClr val="dk1"/>
              </a:solidFill>
              <a:effectLst/>
              <a:latin typeface="+mn-lt"/>
              <a:ea typeface="+mn-ea"/>
              <a:cs typeface="+mn-cs"/>
            </a:rPr>
            <a:t>Cumulative Development Cost</a:t>
          </a:r>
          <a:r>
            <a:rPr lang="en-US" sz="1100">
              <a:solidFill>
                <a:schemeClr val="dk1"/>
              </a:solidFill>
              <a:effectLst/>
              <a:latin typeface="+mn-lt"/>
              <a:ea typeface="+mn-ea"/>
              <a:cs typeface="+mn-cs"/>
            </a:rPr>
            <a:t> can be calculated for a new global good based on a forward-looking function point analysis, but this requires significant technical expertise to deconstruct a planned software program into functions and apply relevant benchmarks of cost per function point </a:t>
          </a:r>
        </a:p>
        <a:p>
          <a:pPr lvl="1"/>
          <a:r>
            <a:rPr lang="en-US" sz="1100" u="sng">
              <a:solidFill>
                <a:schemeClr val="dk1"/>
              </a:solidFill>
              <a:effectLst/>
              <a:latin typeface="+mn-lt"/>
              <a:ea typeface="+mn-ea"/>
              <a:cs typeface="+mn-cs"/>
            </a:rPr>
            <a:t>Ongoing Development Cost</a:t>
          </a:r>
          <a:r>
            <a:rPr lang="en-US" sz="1100">
              <a:solidFill>
                <a:schemeClr val="dk1"/>
              </a:solidFill>
              <a:effectLst/>
              <a:latin typeface="+mn-lt"/>
              <a:ea typeface="+mn-ea"/>
              <a:cs typeface="+mn-cs"/>
            </a:rPr>
            <a:t> can be estimated as a % of cumulative development cost using guardrails from this study and industry benchmark (annual operating costs estimated at 15-25% of initial development cost)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2</xdr:row>
      <xdr:rowOff>12700</xdr:rowOff>
    </xdr:from>
    <xdr:to>
      <xdr:col>16</xdr:col>
      <xdr:colOff>6350</xdr:colOff>
      <xdr:row>20</xdr:row>
      <xdr:rowOff>139700</xdr:rowOff>
    </xdr:to>
    <xdr:sp macro="" textlink="">
      <xdr:nvSpPr>
        <xdr:cNvPr id="2" name="TextBox 1"/>
        <xdr:cNvSpPr txBox="1"/>
      </xdr:nvSpPr>
      <xdr:spPr>
        <a:xfrm>
          <a:off x="622300" y="381000"/>
          <a:ext cx="9137650" cy="3441700"/>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FTE-based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Analysis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FTE based analysis measures staff-hours that have gone into developing a global good over time.  This is expressed mainly in FTE-years, but can be translated to a dollar value using informed assumptions on market salaries. </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Data on FTEs is collected through interviews with leadership teams and past staff rosters to estimate FTE effort by year.</a:t>
          </a:r>
          <a:r>
            <a:rPr lang="en-US" sz="1100" baseline="0">
              <a:solidFill>
                <a:schemeClr val="dk1"/>
              </a:solidFill>
              <a:effectLst/>
              <a:latin typeface="+mn-lt"/>
              <a:ea typeface="+mn-ea"/>
              <a:cs typeface="+mn-cs"/>
            </a:rPr>
            <a:t> As such, the ingoing assumption is that the historical FTEs and allocation to development of the global good can be known or approximated.  This should include  volunteer work/ open source community development contributions.</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The total number of FTEs working on the global good for every development year, in combination with current market salary information, is summed to arrive at a total spend over the development timeframe (very roughly: #FTEs * salary * # years = total development cost).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Output from this methodology can be viewed as an approximation of the internal build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 for a global good if all effort was to be compensated at fair market value.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It is important to note that effort may include several categories of labor:</a:t>
          </a:r>
        </a:p>
        <a:p>
          <a:pPr lvl="1"/>
          <a:r>
            <a:rPr lang="en-US" sz="1100">
              <a:solidFill>
                <a:schemeClr val="dk1"/>
              </a:solidFill>
              <a:effectLst/>
              <a:latin typeface="+mn-lt"/>
              <a:ea typeface="+mn-ea"/>
              <a:cs typeface="+mn-cs"/>
            </a:rPr>
            <a:t>- Developers who are focused nearly exclusively on the core global good and compensated for their time</a:t>
          </a:r>
        </a:p>
        <a:p>
          <a:pPr lvl="1"/>
          <a:r>
            <a:rPr lang="en-US" sz="1100">
              <a:solidFill>
                <a:schemeClr val="dk1"/>
              </a:solidFill>
              <a:effectLst/>
              <a:latin typeface="+mn-lt"/>
              <a:ea typeface="+mn-ea"/>
              <a:cs typeface="+mn-cs"/>
            </a:rPr>
            <a:t>- Developers who are focused nearly exclusively on the core global good but are not directly compensated</a:t>
          </a:r>
        </a:p>
        <a:p>
          <a:pPr lvl="1"/>
          <a:r>
            <a:rPr lang="en-US" sz="1100">
              <a:solidFill>
                <a:schemeClr val="dk1"/>
              </a:solidFill>
              <a:effectLst/>
              <a:latin typeface="+mn-lt"/>
              <a:ea typeface="+mn-ea"/>
              <a:cs typeface="+mn-cs"/>
            </a:rPr>
            <a:t>- Developers who are focused on implementing the global good for a particular project but make some contributions back to the core</a:t>
          </a:r>
        </a:p>
        <a:p>
          <a:pPr lvl="1"/>
          <a:r>
            <a:rPr lang="en-US" sz="1100">
              <a:solidFill>
                <a:schemeClr val="dk1"/>
              </a:solidFill>
              <a:effectLst/>
              <a:latin typeface="+mn-lt"/>
              <a:ea typeface="+mn-ea"/>
              <a:cs typeface="+mn-cs"/>
            </a:rPr>
            <a:t>- Individuals who make independent contributions to the global good on a purely voluntary basis</a:t>
          </a:r>
        </a:p>
        <a:p>
          <a:r>
            <a:rPr lang="en-US" sz="1100">
              <a:solidFill>
                <a:schemeClr val="dk1"/>
              </a:solidFill>
              <a:effectLst/>
              <a:latin typeface="+mn-lt"/>
              <a:ea typeface="+mn-ea"/>
              <a:cs typeface="+mn-cs"/>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25400</xdr:colOff>
      <xdr:row>2</xdr:row>
      <xdr:rowOff>31750</xdr:rowOff>
    </xdr:from>
    <xdr:to>
      <xdr:col>16</xdr:col>
      <xdr:colOff>6350</xdr:colOff>
      <xdr:row>16</xdr:row>
      <xdr:rowOff>127000</xdr:rowOff>
    </xdr:to>
    <xdr:sp macro="" textlink="">
      <xdr:nvSpPr>
        <xdr:cNvPr id="2" name="TextBox 1"/>
        <xdr:cNvSpPr txBox="1"/>
      </xdr:nvSpPr>
      <xdr:spPr>
        <a:xfrm>
          <a:off x="635000" y="400050"/>
          <a:ext cx="9124950" cy="2673350"/>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Revenue-based</a:t>
          </a:r>
          <a:r>
            <a:rPr lang="en-US" sz="1100" b="1" baseline="0">
              <a:solidFill>
                <a:schemeClr val="dk1"/>
              </a:solidFill>
              <a:effectLst/>
              <a:latin typeface="+mn-lt"/>
              <a:ea typeface="+mn-ea"/>
              <a:cs typeface="+mn-cs"/>
            </a:rPr>
            <a:t> Analysis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Revenue based analysis measures total grants and other funding that have gone into building the core global good. </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Output from this methodology can be viewed as an approximation of the</a:t>
          </a:r>
          <a:r>
            <a:rPr lang="en-US" sz="1100" baseline="0">
              <a:solidFill>
                <a:schemeClr val="dk1"/>
              </a:solidFill>
              <a:effectLst/>
              <a:latin typeface="+mn-lt"/>
              <a:ea typeface="+mn-ea"/>
              <a:cs typeface="+mn-cs"/>
            </a:rPr>
            <a:t> grants needed to fund the development of a similar </a:t>
          </a:r>
          <a:r>
            <a:rPr lang="en-US" sz="1100">
              <a:solidFill>
                <a:schemeClr val="dk1"/>
              </a:solidFill>
              <a:effectLst/>
              <a:latin typeface="+mn-lt"/>
              <a:ea typeface="+mn-ea"/>
              <a:cs typeface="+mn-cs"/>
            </a:rPr>
            <a:t>digital global good</a:t>
          </a:r>
          <a:r>
            <a:rPr lang="en-US"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It is important to note that past spend may not be representative of future spend (even if the same tool was to be developed) for numerous reasons, including inflation, labor market changes and geographies, efficiency of labor, advancement of supporting tools, etc.</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One challenge of using revenue-based analysis is that, for many global goods, most funding is granted for specific implementation projects.  An unknown but significant portion of work performed under implementation projects is “fed back to the core.”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Generally we expect this method to be a lower bound on the cumulative development cost of the global good. For the revenue-based method, data is collected through tabulating past grant dollars.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25400</xdr:colOff>
      <xdr:row>2</xdr:row>
      <xdr:rowOff>31750</xdr:rowOff>
    </xdr:from>
    <xdr:to>
      <xdr:col>16</xdr:col>
      <xdr:colOff>6350</xdr:colOff>
      <xdr:row>79</xdr:row>
      <xdr:rowOff>56445</xdr:rowOff>
    </xdr:to>
    <xdr:sp macro="" textlink="">
      <xdr:nvSpPr>
        <xdr:cNvPr id="2" name="TextBox 1"/>
        <xdr:cNvSpPr txBox="1"/>
      </xdr:nvSpPr>
      <xdr:spPr>
        <a:xfrm>
          <a:off x="307622" y="398639"/>
          <a:ext cx="9082617" cy="14164028"/>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Code-based Analysis (COCOMO 81)</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All code-based cost analyses estimate historical development effort based on the current state of</a:t>
          </a:r>
          <a:r>
            <a:rPr lang="en-US" sz="1100" baseline="0">
              <a:solidFill>
                <a:schemeClr val="dk1"/>
              </a:solidFill>
              <a:effectLst/>
              <a:latin typeface="+mn-lt"/>
              <a:ea typeface="+mn-ea"/>
              <a:cs typeface="+mn-cs"/>
            </a:rPr>
            <a:t> the </a:t>
          </a:r>
          <a:r>
            <a:rPr lang="en-US" sz="1100">
              <a:solidFill>
                <a:schemeClr val="dk1"/>
              </a:solidFill>
              <a:effectLst/>
              <a:latin typeface="+mn-lt"/>
              <a:ea typeface="+mn-ea"/>
              <a:cs typeface="+mn-cs"/>
            </a:rPr>
            <a:t>product (the code). We used one type of code-based</a:t>
          </a:r>
          <a:r>
            <a:rPr lang="en-US" sz="1100" baseline="0">
              <a:solidFill>
                <a:schemeClr val="dk1"/>
              </a:solidFill>
              <a:effectLst/>
              <a:latin typeface="+mn-lt"/>
              <a:ea typeface="+mn-ea"/>
              <a:cs typeface="+mn-cs"/>
            </a:rPr>
            <a:t> analysis called the COCOMO 81. </a:t>
          </a:r>
          <a:r>
            <a:rPr lang="en-US" sz="1100">
              <a:solidFill>
                <a:schemeClr val="dk1"/>
              </a:solidFill>
              <a:effectLst/>
              <a:latin typeface="+mn-lt"/>
              <a:ea typeface="+mn-ea"/>
              <a:cs typeface="+mn-cs"/>
            </a:rPr>
            <a:t>This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COCOMO 81 methodology is a regression model based on 61 historical,</a:t>
          </a:r>
          <a:r>
            <a:rPr lang="en-US" sz="1100" baseline="0">
              <a:solidFill>
                <a:schemeClr val="dk1"/>
              </a:solidFill>
              <a:effectLst/>
              <a:latin typeface="+mn-lt"/>
              <a:ea typeface="+mn-ea"/>
              <a:cs typeface="+mn-cs"/>
            </a:rPr>
            <a:t> closed-source s</a:t>
          </a:r>
          <a:r>
            <a:rPr lang="en-US" sz="1100">
              <a:solidFill>
                <a:schemeClr val="dk1"/>
              </a:solidFill>
              <a:effectLst/>
              <a:latin typeface="+mn-lt"/>
              <a:ea typeface="+mn-ea"/>
              <a:cs typeface="+mn-cs"/>
            </a:rPr>
            <a:t>oftware projects.</a:t>
          </a:r>
          <a:r>
            <a:rPr lang="en-US" sz="1100" baseline="0">
              <a:solidFill>
                <a:schemeClr val="dk1"/>
              </a:solidFill>
              <a:effectLst/>
              <a:latin typeface="+mn-lt"/>
              <a:ea typeface="+mn-ea"/>
              <a:cs typeface="+mn-cs"/>
            </a:rPr>
            <a:t> It was </a:t>
          </a:r>
          <a:r>
            <a:rPr lang="en-US" sz="1100">
              <a:solidFill>
                <a:schemeClr val="dk1"/>
              </a:solidFill>
              <a:effectLst/>
              <a:latin typeface="+mn-lt"/>
              <a:ea typeface="+mn-ea"/>
              <a:cs typeface="+mn-cs"/>
            </a:rPr>
            <a:t>developed by Barry Boehm at the University of Southern California. There</a:t>
          </a:r>
          <a:r>
            <a:rPr lang="en-US" sz="1100" baseline="0">
              <a:solidFill>
                <a:schemeClr val="dk1"/>
              </a:solidFill>
              <a:effectLst/>
              <a:latin typeface="+mn-lt"/>
              <a:ea typeface="+mn-ea"/>
              <a:cs typeface="+mn-cs"/>
            </a:rPr>
            <a:t> have been subsequent code-based costing methodologies, we used COCOMO 81 as the most simple option. </a:t>
          </a:r>
          <a:endParaRPr lang="en-US" sz="110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The COCOMO</a:t>
          </a:r>
          <a:r>
            <a:rPr lang="en-US" sz="1100" baseline="0">
              <a:solidFill>
                <a:schemeClr val="dk1"/>
              </a:solidFill>
              <a:effectLst/>
              <a:latin typeface="+mn-lt"/>
              <a:ea typeface="+mn-ea"/>
              <a:cs typeface="+mn-cs"/>
            </a:rPr>
            <a:t> m</a:t>
          </a:r>
          <a:r>
            <a:rPr lang="en-US" sz="1100">
              <a:solidFill>
                <a:schemeClr val="dk1"/>
              </a:solidFill>
              <a:effectLst/>
              <a:latin typeface="+mn-lt"/>
              <a:ea typeface="+mn-ea"/>
              <a:cs typeface="+mn-cs"/>
            </a:rPr>
            <a:t>ethodology is based on the size of the software product (measured in lines of code), the development style, an estimated salary for software</a:t>
          </a:r>
          <a:r>
            <a:rPr lang="en-US" sz="1100" baseline="0">
              <a:solidFill>
                <a:schemeClr val="dk1"/>
              </a:solidFill>
              <a:effectLst/>
              <a:latin typeface="+mn-lt"/>
              <a:ea typeface="+mn-ea"/>
              <a:cs typeface="+mn-cs"/>
            </a:rPr>
            <a:t> developers</a:t>
          </a:r>
          <a:r>
            <a:rPr lang="en-US" sz="1100">
              <a:solidFill>
                <a:schemeClr val="dk1"/>
              </a:solidFill>
              <a:effectLst/>
              <a:latin typeface="+mn-lt"/>
              <a:ea typeface="+mn-ea"/>
              <a:cs typeface="+mn-cs"/>
            </a:rPr>
            <a:t>, and subjective assessments of product, hardware, personnel and project attributes.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Output from this methodology can be viewed as an approximation of the replacement cost for a software</a:t>
          </a:r>
          <a:r>
            <a:rPr lang="en-US" sz="1100" baseline="0">
              <a:solidFill>
                <a:schemeClr val="dk1"/>
              </a:solidFill>
              <a:effectLst/>
              <a:latin typeface="+mn-lt"/>
              <a:ea typeface="+mn-ea"/>
              <a:cs typeface="+mn-cs"/>
            </a:rPr>
            <a:t> product </a:t>
          </a:r>
          <a:r>
            <a:rPr lang="en-US" sz="1100">
              <a:solidFill>
                <a:schemeClr val="dk1"/>
              </a:solidFill>
              <a:effectLst/>
              <a:latin typeface="+mn-lt"/>
              <a:ea typeface="+mn-ea"/>
              <a:cs typeface="+mn-cs"/>
            </a:rPr>
            <a:t>if all effort was to be compensated at fair market value. Application of this methodology to open source projects, including potentially global goods, should</a:t>
          </a:r>
          <a:r>
            <a:rPr lang="en-US" sz="1100" baseline="0">
              <a:solidFill>
                <a:schemeClr val="dk1"/>
              </a:solidFill>
              <a:effectLst/>
              <a:latin typeface="+mn-lt"/>
              <a:ea typeface="+mn-ea"/>
              <a:cs typeface="+mn-cs"/>
            </a:rPr>
            <a:t> be used with extreme caution as it is likely to understand the productivity, overestimate the duration, overstate the number of developers, and therefore overstate the cost of development. (</a:t>
          </a:r>
          <a:r>
            <a:rPr lang="en-US" sz="1100">
              <a:solidFill>
                <a:schemeClr val="dk1"/>
              </a:solidFill>
              <a:effectLst/>
              <a:latin typeface="+mn-lt"/>
              <a:ea typeface="+mn-ea"/>
              <a:cs typeface="+mn-cs"/>
            </a:rPr>
            <a:t>Frenandez-Ramil, Izquierdo-Cortazar, &amp; Mens,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2009). </a:t>
          </a:r>
          <a:r>
            <a:rPr lang="en-US" sz="1100" baseline="0">
              <a:solidFill>
                <a:schemeClr val="dk1"/>
              </a:solidFill>
              <a:effectLst/>
              <a:latin typeface="+mn-lt"/>
              <a:ea typeface="+mn-ea"/>
              <a:cs typeface="+mn-cs"/>
            </a:rPr>
            <a:t>This is explained in greater detail below.</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As noted, the team chose to utilize the COCOMO 81 methodology due to its ubiquity and simplicity of inputs.  A number of more complex successor models have been created including COCOMO II, Coqualmo, Copsemo, and Cosecmo (Boehm, 2008).  Alternative estimation techniques such as function point analysis were rejected due to the labor intensive process of counting function points.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benefit of using the COCOMO model is that the model is open-source and commonly used, which</a:t>
          </a:r>
          <a:r>
            <a:rPr lang="en-US" sz="1100" baseline="0">
              <a:solidFill>
                <a:schemeClr val="dk1"/>
              </a:solidFill>
              <a:effectLst/>
              <a:latin typeface="+mn-lt"/>
              <a:ea typeface="+mn-ea"/>
              <a:cs typeface="+mn-cs"/>
            </a:rPr>
            <a:t> together mean that COCOMO estimates are repeatable, independent, and transparent. This is useful in this context to ensure comparability across different digital global goods. Additionally, </a:t>
          </a:r>
          <a:r>
            <a:rPr lang="en-US" sz="1100">
              <a:solidFill>
                <a:schemeClr val="dk1"/>
              </a:solidFill>
              <a:effectLst/>
              <a:latin typeface="+mn-lt"/>
              <a:ea typeface="+mn-ea"/>
              <a:cs typeface="+mn-cs"/>
            </a:rPr>
            <a:t>COCOMO allows</a:t>
          </a:r>
          <a:r>
            <a:rPr lang="en-US" sz="1100" baseline="0">
              <a:solidFill>
                <a:schemeClr val="dk1"/>
              </a:solidFill>
              <a:effectLst/>
              <a:latin typeface="+mn-lt"/>
              <a:ea typeface="+mn-ea"/>
              <a:cs typeface="+mn-cs"/>
            </a:rPr>
            <a:t> for calibration of differences in software environments. </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The main challenge of COCOMO is that </a:t>
          </a:r>
          <a:r>
            <a:rPr lang="en-US" sz="1100">
              <a:solidFill>
                <a:schemeClr val="dk1"/>
              </a:solidFill>
              <a:effectLst/>
              <a:latin typeface="+mn-lt"/>
              <a:ea typeface="+mn-ea"/>
              <a:cs typeface="+mn-cs"/>
            </a:rPr>
            <a:t>it is an old methodology (even its subsequent versions are twenty years old),</a:t>
          </a:r>
          <a:r>
            <a:rPr lang="en-US" sz="1100" baseline="0">
              <a:solidFill>
                <a:schemeClr val="dk1"/>
              </a:solidFill>
              <a:effectLst/>
              <a:latin typeface="+mn-lt"/>
              <a:ea typeface="+mn-ea"/>
              <a:cs typeface="+mn-cs"/>
            </a:rPr>
            <a:t> and not reflective of today's software. </a:t>
          </a:r>
          <a:r>
            <a:rPr lang="en-US" sz="1100">
              <a:solidFill>
                <a:schemeClr val="dk1"/>
              </a:solidFill>
              <a:effectLst/>
              <a:latin typeface="+mn-lt"/>
              <a:ea typeface="+mn-ea"/>
              <a:cs typeface="+mn-cs"/>
            </a:rPr>
            <a:t>It assumes a waterfall method of software development, which was more prevalent during this</a:t>
          </a:r>
          <a:r>
            <a:rPr lang="en-US" sz="1100" baseline="0">
              <a:solidFill>
                <a:schemeClr val="dk1"/>
              </a:solidFill>
              <a:effectLst/>
              <a:latin typeface="+mn-lt"/>
              <a:ea typeface="+mn-ea"/>
              <a:cs typeface="+mn-cs"/>
            </a:rPr>
            <a:t> approach's</a:t>
          </a:r>
          <a:r>
            <a:rPr lang="en-US" sz="1100">
              <a:solidFill>
                <a:schemeClr val="dk1"/>
              </a:solidFill>
              <a:effectLst/>
              <a:latin typeface="+mn-lt"/>
              <a:ea typeface="+mn-ea"/>
              <a:cs typeface="+mn-cs"/>
            </a:rPr>
            <a:t> development. As more and more agile development occurs, the model should be calibrated</a:t>
          </a:r>
          <a:r>
            <a:rPr lang="en-US" sz="1100" baseline="0">
              <a:solidFill>
                <a:schemeClr val="dk1"/>
              </a:solidFill>
              <a:effectLst/>
              <a:latin typeface="+mn-lt"/>
              <a:ea typeface="+mn-ea"/>
              <a:cs typeface="+mn-cs"/>
            </a:rPr>
            <a:t> carefully</a:t>
          </a:r>
          <a:r>
            <a:rPr lang="en-US" sz="1100">
              <a:solidFill>
                <a:schemeClr val="dk1"/>
              </a:solidFill>
              <a:effectLst/>
              <a:latin typeface="+mn-lt"/>
              <a:ea typeface="+mn-ea"/>
              <a:cs typeface="+mn-cs"/>
            </a:rPr>
            <a:t>. Additionally, COCOMO assumes that the effort grows more than linearly with software size,</a:t>
          </a:r>
          <a:r>
            <a:rPr lang="en-US" sz="1100" baseline="0">
              <a:solidFill>
                <a:schemeClr val="dk1"/>
              </a:solidFill>
              <a:effectLst/>
              <a:latin typeface="+mn-lt"/>
              <a:ea typeface="+mn-ea"/>
              <a:cs typeface="+mn-cs"/>
            </a:rPr>
            <a:t> which may or may not hold true depending on the tools and scale. Lastly, the importance and magnitude of some cost drivers are no longer as relevant as they once were to the estimates.</a:t>
          </a:r>
          <a:r>
            <a:rPr lang="en-US"/>
            <a:t> This approach</a:t>
          </a:r>
          <a:r>
            <a:rPr lang="en-US" baseline="0"/>
            <a:t> </a:t>
          </a:r>
          <a:r>
            <a:rPr lang="en-US"/>
            <a:t>is best considered a rough</a:t>
          </a:r>
          <a:r>
            <a:rPr lang="en-US" baseline="0"/>
            <a:t> estimate, useful because of its ubiquity, which enables comparability.</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framework</a:t>
          </a:r>
          <a:r>
            <a:rPr lang="en-US" sz="1100" baseline="0">
              <a:solidFill>
                <a:schemeClr val="dk1"/>
              </a:solidFill>
              <a:effectLst/>
              <a:latin typeface="+mn-lt"/>
              <a:ea typeface="+mn-ea"/>
              <a:cs typeface="+mn-cs"/>
            </a:rPr>
            <a:t> uses the </a:t>
          </a:r>
          <a:r>
            <a:rPr lang="en-US" sz="1100">
              <a:solidFill>
                <a:schemeClr val="dk1"/>
              </a:solidFill>
              <a:effectLst/>
              <a:latin typeface="+mn-lt"/>
              <a:ea typeface="+mn-ea"/>
              <a:cs typeface="+mn-cs"/>
            </a:rPr>
            <a:t>intermediate version of the COCOMO model to account for effort-influencing</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characteristics </a:t>
          </a:r>
          <a:r>
            <a:rPr lang="en-US" sz="1100" baseline="0">
              <a:solidFill>
                <a:schemeClr val="dk1"/>
              </a:solidFill>
              <a:effectLst/>
              <a:latin typeface="+mn-lt"/>
              <a:ea typeface="+mn-ea"/>
              <a:cs typeface="+mn-cs"/>
            </a:rPr>
            <a:t>across </a:t>
          </a:r>
          <a:r>
            <a:rPr lang="en-US" sz="1100" b="0" i="0" u="none" strike="noStrike" baseline="0" smtClean="0">
              <a:solidFill>
                <a:schemeClr val="dk1"/>
              </a:solidFill>
              <a:latin typeface="+mn-lt"/>
              <a:ea typeface="+mn-ea"/>
              <a:cs typeface="+mn-cs"/>
            </a:rPr>
            <a:t>product features, hardware, personnel, and project features.</a:t>
          </a:r>
          <a:endParaRPr lang="en-US">
            <a:effectLst/>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using COCOMO 81, the team recognizes two broad sets of estimation biases that will overestimate replacement cost:</a:t>
          </a:r>
          <a:r>
            <a:rPr lang="en-US" sz="1100" baseline="0">
              <a:solidFill>
                <a:schemeClr val="dk1"/>
              </a:solidFill>
              <a:effectLst/>
              <a:latin typeface="+mn-lt"/>
              <a:ea typeface="+mn-ea"/>
              <a:cs typeface="+mn-cs"/>
            </a:rPr>
            <a:t> </a:t>
          </a:r>
        </a:p>
        <a:p>
          <a:r>
            <a:rPr lang="en-US" sz="1100">
              <a:solidFill>
                <a:schemeClr val="dk1"/>
              </a:solidFill>
              <a:effectLst/>
              <a:latin typeface="+mn-lt"/>
              <a:ea typeface="+mn-ea"/>
              <a:cs typeface="+mn-cs"/>
            </a:rPr>
            <a:t>1) Overestimation due to software development evolution, and </a:t>
          </a:r>
        </a:p>
        <a:p>
          <a:r>
            <a:rPr lang="en-US" sz="1100">
              <a:solidFill>
                <a:schemeClr val="dk1"/>
              </a:solidFill>
              <a:effectLst/>
              <a:latin typeface="+mn-lt"/>
              <a:ea typeface="+mn-ea"/>
              <a:cs typeface="+mn-cs"/>
            </a:rPr>
            <a:t>2) Overestimation for open source projects.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a:t>
          </a:r>
          <a:r>
            <a:rPr lang="en-US" sz="1100" baseline="0">
              <a:solidFill>
                <a:schemeClr val="dk1"/>
              </a:solidFill>
              <a:effectLst/>
              <a:latin typeface="+mn-lt"/>
              <a:ea typeface="+mn-ea"/>
              <a:cs typeface="+mn-cs"/>
            </a:rPr>
            <a:t> are described in more detail below.</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1) Overestimation due to software development evolution</a:t>
          </a:r>
        </a:p>
        <a:p>
          <a:r>
            <a:rPr lang="en-US" sz="1100">
              <a:solidFill>
                <a:schemeClr val="dk1"/>
              </a:solidFill>
              <a:effectLst/>
              <a:latin typeface="+mn-lt"/>
              <a:ea typeface="+mn-ea"/>
              <a:cs typeface="+mn-cs"/>
            </a:rPr>
            <a:t>Three distinct factors in the evolution of software development lead us to believe COCOMO 81 could overestimate development effort of projects conducted today.</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First, the general trend in software development over the last 30 years has been a migration from lower level languages such as (e.g.. Assembly, Ada, C) to higher level languages (e.g.. Java, Python, and PHP). Higher level languages enable developers to express similar concepts in fewer lines of code.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Second, since 1981, the dominant software development style has shifted from waterfall to agile.  Waterfall development defines specific stages for requirements, development, and testing / bug –fixing.  In contrast, agile emphasizes continuous development, testing and release.  Agile will likely decrease costs by accurately pinpointing customer requirements at early stages while increasing value by ensuring continuous customer feedback (Boehm, 2008).</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Finally, since 1981, there has been a proliferation of productivity tools which would increase developer efficiency.  In modern software development, debuggers, static code analyzers, code generators, automated testing infrastructure and application monitoring are all widely used, allowing defects to be discovered and debugged more cheaply.</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2) Overestimation for open source development</a:t>
          </a:r>
        </a:p>
        <a:p>
          <a:r>
            <a:rPr lang="en-US" sz="1100">
              <a:solidFill>
                <a:schemeClr val="dk1"/>
              </a:solidFill>
              <a:effectLst/>
              <a:latin typeface="+mn-lt"/>
              <a:ea typeface="+mn-ea"/>
              <a:cs typeface="+mn-cs"/>
            </a:rPr>
            <a:t>Resource tracking for open source projects is notoriously spotty. During free/open source development, resource management is less critical due to the volunteer nature and effort is less observable by project managers.  Research has found that the inner leadership of an open source project do not have precise statistics on effort, which is in line with our experience (Frenandez-Ramil, Izquierdo-Cortazar, &amp; Mens, 2009).  Due to this lack of data, it is understandable that the COCOMO 81 model regression parameters were fit using 61 closed source projects, and therefore should not be expected to predict open source projects accurately (Boehm, 2008).</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Mens conducted a detailed comparison for 11 open source projects (primarily written in C/C++) comparing COCOMO 81’s effort estimation vs a custom effort metric.  Their custom effort metric was a conservative upper bound estimate, assuming that if a contributor made even a single check in during a month, they worked that entire month. Mens</a:t>
          </a:r>
          <a:r>
            <a:rPr lang="en-US" sz="1100" baseline="0">
              <a:solidFill>
                <a:schemeClr val="dk1"/>
              </a:solidFill>
              <a:effectLst/>
              <a:latin typeface="+mn-lt"/>
              <a:ea typeface="+mn-ea"/>
              <a:cs typeface="+mn-cs"/>
            </a:rPr>
            <a:t> found that COCOMO 81 overstates effort required along a number of factors (Mens 2009). Another study </a:t>
          </a:r>
          <a:r>
            <a:rPr lang="en-US" sz="1100">
              <a:solidFill>
                <a:schemeClr val="dk1"/>
              </a:solidFill>
              <a:effectLst/>
              <a:latin typeface="+mn-lt"/>
              <a:ea typeface="+mn-ea"/>
              <a:cs typeface="+mn-cs"/>
            </a:rPr>
            <a:t>found that COCOMO 81 overestimates the effort required for projects by ~2.5</a:t>
          </a:r>
          <a:r>
            <a:rPr lang="en-US" sz="1100" baseline="0">
              <a:solidFill>
                <a:schemeClr val="dk1"/>
              </a:solidFill>
              <a:effectLst/>
              <a:latin typeface="+mn-lt"/>
              <a:ea typeface="+mn-ea"/>
              <a:cs typeface="+mn-cs"/>
            </a:rPr>
            <a:t>x </a:t>
          </a:r>
          <a:r>
            <a:rPr lang="en-US" sz="1100">
              <a:solidFill>
                <a:schemeClr val="dk1"/>
              </a:solidFill>
              <a:effectLst/>
              <a:latin typeface="+mn-lt"/>
              <a:ea typeface="+mn-ea"/>
              <a:cs typeface="+mn-cs"/>
            </a:rPr>
            <a:t>(NIJT</a:t>
          </a:r>
          <a:r>
            <a:rPr lang="en-US" sz="1100" baseline="0">
              <a:solidFill>
                <a:schemeClr val="dk1"/>
              </a:solidFill>
              <a:effectLst/>
              <a:latin typeface="+mn-lt"/>
              <a:ea typeface="+mn-ea"/>
              <a:cs typeface="+mn-cs"/>
            </a:rPr>
            <a:t> 2012).</a:t>
          </a:r>
          <a:r>
            <a:rPr lang="en-US" sz="1100">
              <a:solidFill>
                <a:schemeClr val="dk1"/>
              </a:solidFill>
              <a:effectLst/>
              <a:latin typeface="+mn-lt"/>
              <a:ea typeface="+mn-ea"/>
              <a:cs typeface="+mn-cs"/>
            </a:rPr>
            <a:t> Similarly, Koch concluded that for the GNOME operating system open source project, the development effort realized violated COCOMO 81’s assumptions by being too efficient (Koch, 2005).</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underlying causes for the perceived increased efficiency of open-source projects vs commercial projects as predicted by COCOMO 81 are debatable and difficult to prove.  Koch suggests a number of hypotheses including (Koch, 2005):</a:t>
          </a:r>
        </a:p>
        <a:p>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 Self-selection based on interest: Open source contributors self-select to work on a particular domain problem based on interest, therefore increasing motivation and potentially efficiency.</a:t>
          </a:r>
        </a:p>
        <a:p>
          <a:pPr lvl="1"/>
          <a:r>
            <a:rPr lang="en-US" sz="1100">
              <a:solidFill>
                <a:schemeClr val="dk1"/>
              </a:solidFill>
              <a:effectLst/>
              <a:latin typeface="+mn-lt"/>
              <a:ea typeface="+mn-ea"/>
              <a:cs typeface="+mn-cs"/>
            </a:rPr>
            <a:t>-- Self-selection based on aptitude: Open source contributors choose to contribute in a manner that matches their skill set, and refrain from contributing otherwise, leading to higher efficiency.  This presumes that the self-matching process is a better fit than management led process.</a:t>
          </a:r>
        </a:p>
        <a:p>
          <a:pPr lvl="1"/>
          <a:r>
            <a:rPr lang="en-US" sz="1100">
              <a:solidFill>
                <a:schemeClr val="dk1"/>
              </a:solidFill>
              <a:effectLst/>
              <a:latin typeface="+mn-lt"/>
              <a:ea typeface="+mn-ea"/>
              <a:cs typeface="+mn-cs"/>
            </a:rPr>
            <a:t>-- Lowered overhead costs:  The self-organizing nature of open source projects will likely lead to lower overhead costs, by a reduction of roles such as project manager and a reduction of coordination activities such as timesheet reporting, performance reviews, etc..</a:t>
          </a:r>
        </a:p>
        <a:p>
          <a:pPr lvl="1"/>
          <a:r>
            <a:rPr lang="en-US" sz="1100">
              <a:solidFill>
                <a:schemeClr val="dk1"/>
              </a:solidFill>
              <a:effectLst/>
              <a:latin typeface="+mn-lt"/>
              <a:ea typeface="+mn-ea"/>
              <a:cs typeface="+mn-cs"/>
            </a:rPr>
            <a:t>-- Exclusion of non-development activities:  The COCOMO model likely includes non-development activities including testing, finding bugs, requirements design.  However estimates such as Mens custom metric based on check-ins measure only development labor and may undercount these activities.  A similar weakness could be found in our FTE based approach.  Because the global good is only “user tested” in the context of a project, by trying to limit the FTE-based analysis to counting “core development”, we may systematically undercount the FTE effort.  One software</a:t>
          </a:r>
          <a:r>
            <a:rPr lang="en-US" sz="1100" baseline="0">
              <a:solidFill>
                <a:schemeClr val="dk1"/>
              </a:solidFill>
              <a:effectLst/>
              <a:latin typeface="+mn-lt"/>
              <a:ea typeface="+mn-ea"/>
              <a:cs typeface="+mn-cs"/>
            </a:rPr>
            <a:t> global good leadership team </a:t>
          </a:r>
          <a:r>
            <a:rPr lang="en-US" sz="1100">
              <a:solidFill>
                <a:schemeClr val="dk1"/>
              </a:solidFill>
              <a:effectLst/>
              <a:latin typeface="+mn-lt"/>
              <a:ea typeface="+mn-ea"/>
              <a:cs typeface="+mn-cs"/>
            </a:rPr>
            <a:t>specifically pointed out the significant contributions of non-developer user testers who provide feedback on the system.</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44450</xdr:colOff>
      <xdr:row>2</xdr:row>
      <xdr:rowOff>31751</xdr:rowOff>
    </xdr:from>
    <xdr:to>
      <xdr:col>14</xdr:col>
      <xdr:colOff>357717</xdr:colOff>
      <xdr:row>19</xdr:row>
      <xdr:rowOff>25401</xdr:rowOff>
    </xdr:to>
    <xdr:sp macro="" textlink="">
      <xdr:nvSpPr>
        <xdr:cNvPr id="2" name="TextBox 1"/>
        <xdr:cNvSpPr txBox="1"/>
      </xdr:nvSpPr>
      <xdr:spPr>
        <a:xfrm>
          <a:off x="323850" y="412751"/>
          <a:ext cx="9082617" cy="3124200"/>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Ongoing development cost</a:t>
          </a:r>
          <a:r>
            <a:rPr lang="en-US" sz="1100" b="1" baseline="0">
              <a:solidFill>
                <a:schemeClr val="dk1"/>
              </a:solidFill>
              <a:effectLst/>
              <a:latin typeface="+mn-lt"/>
              <a:ea typeface="+mn-ea"/>
              <a:cs typeface="+mn-cs"/>
            </a:rPr>
            <a:t> estimates</a:t>
          </a:r>
        </a:p>
        <a:p>
          <a:endParaRPr lang="en-US" sz="1100" b="1">
            <a:solidFill>
              <a:schemeClr val="dk1"/>
            </a:solidFill>
            <a:effectLst/>
            <a:latin typeface="+mn-lt"/>
            <a:ea typeface="+mn-ea"/>
            <a:cs typeface="+mn-cs"/>
          </a:endParaRPr>
        </a:p>
        <a:p>
          <a:r>
            <a:rPr lang="en-US" sz="1100">
              <a:solidFill>
                <a:schemeClr val="dk1"/>
              </a:solidFill>
              <a:effectLst/>
              <a:latin typeface="+mn-lt"/>
              <a:ea typeface="+mn-ea"/>
              <a:cs typeface="+mn-cs"/>
            </a:rPr>
            <a:t>Ongoing Development Cost has been calculated based on data submitted by the global good teams to estimate the ongoing operating costs to maintain and enhance the global good. Additionally,</a:t>
          </a:r>
          <a:r>
            <a:rPr lang="en-US" sz="1100" baseline="0">
              <a:solidFill>
                <a:schemeClr val="dk1"/>
              </a:solidFill>
              <a:effectLst/>
              <a:latin typeface="+mn-lt"/>
              <a:ea typeface="+mn-ea"/>
              <a:cs typeface="+mn-cs"/>
            </a:rPr>
            <a:t> major new development spend may projected seperately, if warranted given known upcoming development plans.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Ongoing development line item costs were categorized into four high level buckets, comprising:</a:t>
          </a:r>
        </a:p>
        <a:p>
          <a:endParaRPr lang="en-US" sz="1100">
            <a:solidFill>
              <a:schemeClr val="dk1"/>
            </a:solidFill>
            <a:effectLst/>
            <a:latin typeface="+mn-lt"/>
            <a:ea typeface="+mn-ea"/>
            <a:cs typeface="+mn-cs"/>
          </a:endParaRPr>
        </a:p>
        <a:p>
          <a:pPr lvl="0"/>
          <a:r>
            <a:rPr lang="en-US" sz="1100">
              <a:solidFill>
                <a:schemeClr val="dk1"/>
              </a:solidFill>
              <a:effectLst/>
              <a:latin typeface="Calibri" panose="020F0502020204030204" pitchFamily="34" charset="0"/>
              <a:ea typeface="+mn-ea"/>
              <a:cs typeface="Calibri" panose="020F0502020204030204" pitchFamily="34" charset="0"/>
            </a:rPr>
            <a:t>  </a:t>
          </a:r>
          <a:r>
            <a:rPr lang="en-US" sz="1100">
              <a:solidFill>
                <a:schemeClr val="dk1"/>
              </a:solidFill>
              <a:effectLst/>
              <a:latin typeface="+mn-lt"/>
              <a:ea typeface="+mn-ea"/>
              <a:cs typeface="+mn-cs"/>
            </a:rPr>
            <a:t>-</a:t>
          </a:r>
          <a:r>
            <a:rPr lang="en-US" sz="1100">
              <a:solidFill>
                <a:schemeClr val="dk1"/>
              </a:solidFill>
              <a:effectLst/>
              <a:latin typeface="Calibri" panose="020F0502020204030204" pitchFamily="34" charset="0"/>
              <a:ea typeface="+mn-ea"/>
              <a:cs typeface="Calibri" panose="020F0502020204030204" pitchFamily="34" charset="0"/>
            </a:rPr>
            <a:t> </a:t>
          </a:r>
          <a:r>
            <a:rPr lang="en-US" sz="1100">
              <a:solidFill>
                <a:schemeClr val="dk1"/>
              </a:solidFill>
              <a:effectLst/>
              <a:latin typeface="+mn-lt"/>
              <a:ea typeface="+mn-ea"/>
              <a:cs typeface="+mn-cs"/>
            </a:rPr>
            <a:t>Development Cost: Development work towards major new features or fixing bugs in existing functionality.  Includes time spent creating requirements (user stories), coding, testing, and writing automated tests.</a:t>
          </a:r>
        </a:p>
        <a:p>
          <a:pPr lvl="0"/>
          <a:r>
            <a:rPr lang="en-US" sz="1100">
              <a:solidFill>
                <a:schemeClr val="dk1"/>
              </a:solidFill>
              <a:effectLst/>
              <a:latin typeface="+mn-lt"/>
              <a:ea typeface="+mn-ea"/>
              <a:cs typeface="+mn-cs"/>
            </a:rPr>
            <a:t>  - Development Infrastructure: Costs associated with creating supporting tools and processes for development work.  1) Basic tools for developers / testers including desktops / laptops, software licenses for editors, etc..  2) Centralized hardware or software licenses for development support (e.g.. Continuous integration server, version control repository) 3) Testing hardware e.g.. mobile phones for app development 4) Staff dedicated to maintaining infrastructure</a:t>
          </a:r>
        </a:p>
        <a:p>
          <a:pPr lvl="0"/>
          <a:r>
            <a:rPr lang="en-US" sz="1100">
              <a:solidFill>
                <a:schemeClr val="dk1"/>
              </a:solidFill>
              <a:effectLst/>
              <a:latin typeface="+mn-lt"/>
              <a:ea typeface="+mn-ea"/>
              <a:cs typeface="+mn-cs"/>
            </a:rPr>
            <a:t>  - Community Support: Costs associated with nurturing a community related to the global good (e.g.. Developers, users, implementers).  Include costs such as training materials (e.g.. Implementer's guide, developer's guide), events (conferences), and community support (direct FTEs with roles to support community questions / requests)</a:t>
          </a:r>
        </a:p>
        <a:p>
          <a:r>
            <a:rPr lang="en-US" sz="1100">
              <a:solidFill>
                <a:schemeClr val="dk1"/>
              </a:solidFill>
              <a:effectLst/>
              <a:latin typeface="+mn-lt"/>
              <a:ea typeface="+mn-ea"/>
              <a:cs typeface="+mn-cs"/>
            </a:rPr>
            <a:t>  - Overhead: Overhead not related directly to creating the global good. May consist of 1) Roles with management focus (such as project manager, COO, CEO) and 2) Indirect costs such as office space, professional services, etc.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499984740745262"/>
    <pageSetUpPr fitToPage="1"/>
  </sheetPr>
  <dimension ref="B1:H59"/>
  <sheetViews>
    <sheetView showGridLines="0" tabSelected="1" zoomScale="80" zoomScaleNormal="80" workbookViewId="0">
      <selection activeCell="C16" sqref="C16"/>
    </sheetView>
  </sheetViews>
  <sheetFormatPr defaultColWidth="8.77734375" defaultRowHeight="14.4" x14ac:dyDescent="0.3"/>
  <cols>
    <col min="1" max="1" width="8.77734375" style="3"/>
    <col min="2" max="2" width="5.109375" style="3" customWidth="1"/>
    <col min="3" max="3" width="122.6640625" style="3" customWidth="1"/>
    <col min="4" max="16384" width="8.77734375" style="3"/>
  </cols>
  <sheetData>
    <row r="1" spans="2:3" ht="14.55" x14ac:dyDescent="0.35">
      <c r="C1" s="229" t="str">
        <f>"Version as of: "&amp;TEXT('Inputs--&gt;'!$C$8,"DD MMMM YYYY")</f>
        <v>Version as of: 28 May 2019</v>
      </c>
    </row>
    <row r="2" spans="2:3" ht="14.55" x14ac:dyDescent="0.35">
      <c r="C2" s="229"/>
    </row>
    <row r="7" spans="2:3" ht="12.45" customHeight="1" x14ac:dyDescent="0.35"/>
    <row r="8" spans="2:3" ht="21" x14ac:dyDescent="0.5">
      <c r="B8" s="131" t="s">
        <v>251</v>
      </c>
    </row>
    <row r="9" spans="2:3" ht="6" customHeight="1" x14ac:dyDescent="0.35"/>
    <row r="10" spans="2:3" ht="15.45" x14ac:dyDescent="0.35">
      <c r="B10" s="538" t="s">
        <v>505</v>
      </c>
      <c r="C10" s="395"/>
    </row>
    <row r="11" spans="2:3" ht="15.45" x14ac:dyDescent="0.35">
      <c r="B11" s="539" t="s">
        <v>572</v>
      </c>
    </row>
    <row r="12" spans="2:3" ht="15.45" x14ac:dyDescent="0.35">
      <c r="B12" s="539" t="s">
        <v>254</v>
      </c>
    </row>
    <row r="13" spans="2:3" ht="13.5" customHeight="1" x14ac:dyDescent="0.35"/>
    <row r="14" spans="2:3" ht="18.45" x14ac:dyDescent="0.45">
      <c r="B14" s="132" t="s">
        <v>252</v>
      </c>
    </row>
    <row r="15" spans="2:3" ht="6" customHeight="1" x14ac:dyDescent="0.35"/>
    <row r="16" spans="2:3" ht="31.05" x14ac:dyDescent="0.35">
      <c r="C16" s="540" t="s">
        <v>454</v>
      </c>
    </row>
    <row r="17" spans="2:8" ht="6" customHeight="1" x14ac:dyDescent="0.35">
      <c r="C17" s="541"/>
    </row>
    <row r="18" spans="2:8" ht="31.05" x14ac:dyDescent="0.35">
      <c r="C18" s="540" t="s">
        <v>452</v>
      </c>
      <c r="H18" s="133"/>
    </row>
    <row r="19" spans="2:8" ht="6" customHeight="1" x14ac:dyDescent="0.35">
      <c r="C19" s="542"/>
      <c r="H19" s="133"/>
    </row>
    <row r="20" spans="2:8" ht="15.45" x14ac:dyDescent="0.35">
      <c r="C20" s="539" t="s">
        <v>506</v>
      </c>
      <c r="H20" s="133"/>
    </row>
    <row r="21" spans="2:8" ht="6" customHeight="1" x14ac:dyDescent="0.35">
      <c r="C21" s="134"/>
      <c r="H21" s="133"/>
    </row>
    <row r="22" spans="2:8" ht="18.45" x14ac:dyDescent="0.45">
      <c r="B22" s="132" t="s">
        <v>2</v>
      </c>
      <c r="C22" s="134"/>
      <c r="H22" s="133"/>
    </row>
    <row r="23" spans="2:8" ht="6" customHeight="1" x14ac:dyDescent="0.45">
      <c r="B23" s="132"/>
      <c r="C23" s="134"/>
      <c r="H23" s="133"/>
    </row>
    <row r="24" spans="2:8" ht="18.45" x14ac:dyDescent="0.45">
      <c r="B24" s="132"/>
      <c r="C24" s="540" t="s">
        <v>389</v>
      </c>
      <c r="H24" s="133"/>
    </row>
    <row r="25" spans="2:8" ht="18.45" x14ac:dyDescent="0.45">
      <c r="B25" s="132"/>
      <c r="C25" s="540" t="s">
        <v>449</v>
      </c>
      <c r="D25" s="135"/>
      <c r="H25" s="133"/>
    </row>
    <row r="26" spans="2:8" ht="18.45" x14ac:dyDescent="0.45">
      <c r="B26" s="132"/>
      <c r="C26" s="540" t="s">
        <v>450</v>
      </c>
      <c r="D26" s="135"/>
      <c r="H26" s="133"/>
    </row>
    <row r="27" spans="2:8" ht="7.95" customHeight="1" x14ac:dyDescent="0.45">
      <c r="B27" s="132"/>
      <c r="C27" s="218"/>
      <c r="H27" s="133"/>
    </row>
    <row r="28" spans="2:8" ht="18.45" x14ac:dyDescent="0.45">
      <c r="B28" s="132" t="s">
        <v>573</v>
      </c>
    </row>
    <row r="30" spans="2:8" ht="46.8" x14ac:dyDescent="0.3">
      <c r="C30" s="618" t="s">
        <v>576</v>
      </c>
    </row>
    <row r="31" spans="2:8" ht="15.6" x14ac:dyDescent="0.3">
      <c r="C31" s="619"/>
    </row>
    <row r="32" spans="2:8" ht="15.6" x14ac:dyDescent="0.3">
      <c r="C32" s="617" t="s">
        <v>577</v>
      </c>
    </row>
    <row r="33" spans="2:3" ht="15.6" x14ac:dyDescent="0.3">
      <c r="C33" s="617" t="s">
        <v>578</v>
      </c>
    </row>
    <row r="34" spans="2:3" ht="15.6" x14ac:dyDescent="0.3">
      <c r="C34" s="421"/>
    </row>
    <row r="35" spans="2:3" ht="78" x14ac:dyDescent="0.3">
      <c r="C35" s="620" t="s">
        <v>575</v>
      </c>
    </row>
    <row r="37" spans="2:3" ht="18" x14ac:dyDescent="0.35">
      <c r="B37" s="132" t="s">
        <v>586</v>
      </c>
    </row>
    <row r="38" spans="2:3" ht="15.6" x14ac:dyDescent="0.3">
      <c r="C38" s="621"/>
    </row>
    <row r="39" spans="2:3" ht="46.8" x14ac:dyDescent="0.3">
      <c r="C39" s="620" t="s">
        <v>579</v>
      </c>
    </row>
    <row r="40" spans="2:3" ht="15.6" x14ac:dyDescent="0.3">
      <c r="C40" s="622"/>
    </row>
    <row r="41" spans="2:3" ht="15.6" x14ac:dyDescent="0.3">
      <c r="C41" s="623" t="s">
        <v>580</v>
      </c>
    </row>
    <row r="42" spans="2:3" ht="15.6" x14ac:dyDescent="0.3">
      <c r="C42" s="622"/>
    </row>
    <row r="43" spans="2:3" ht="31.2" x14ac:dyDescent="0.3">
      <c r="C43" s="620" t="s">
        <v>581</v>
      </c>
    </row>
    <row r="44" spans="2:3" ht="15.6" x14ac:dyDescent="0.3">
      <c r="C44" s="622"/>
    </row>
    <row r="45" spans="2:3" ht="31.2" x14ac:dyDescent="0.3">
      <c r="C45" s="620" t="s">
        <v>582</v>
      </c>
    </row>
    <row r="46" spans="2:3" ht="15.6" x14ac:dyDescent="0.3">
      <c r="C46" s="619"/>
    </row>
    <row r="47" spans="2:3" ht="31.2" x14ac:dyDescent="0.3">
      <c r="C47" s="625" t="s">
        <v>587</v>
      </c>
    </row>
    <row r="48" spans="2:3" ht="15.6" x14ac:dyDescent="0.3">
      <c r="C48" s="626"/>
    </row>
    <row r="49" spans="3:3" ht="15.6" x14ac:dyDescent="0.3">
      <c r="C49" s="625" t="s">
        <v>588</v>
      </c>
    </row>
    <row r="50" spans="3:3" ht="15.6" x14ac:dyDescent="0.3">
      <c r="C50" s="626"/>
    </row>
    <row r="51" spans="3:3" ht="46.8" x14ac:dyDescent="0.3">
      <c r="C51" s="625" t="s">
        <v>589</v>
      </c>
    </row>
    <row r="52" spans="3:3" ht="15.6" x14ac:dyDescent="0.3">
      <c r="C52" s="624"/>
    </row>
    <row r="53" spans="3:3" ht="31.2" x14ac:dyDescent="0.3">
      <c r="C53" s="620" t="s">
        <v>583</v>
      </c>
    </row>
    <row r="54" spans="3:3" ht="15.6" x14ac:dyDescent="0.3">
      <c r="C54" s="622"/>
    </row>
    <row r="55" spans="3:3" ht="15.6" x14ac:dyDescent="0.3">
      <c r="C55" s="623" t="s">
        <v>584</v>
      </c>
    </row>
    <row r="56" spans="3:3" ht="15.6" x14ac:dyDescent="0.3">
      <c r="C56" s="622"/>
    </row>
    <row r="57" spans="3:3" ht="62.4" x14ac:dyDescent="0.3">
      <c r="C57" s="620" t="s">
        <v>585</v>
      </c>
    </row>
    <row r="58" spans="3:3" ht="15.6" x14ac:dyDescent="0.3">
      <c r="C58" s="622"/>
    </row>
    <row r="59" spans="3:3" ht="46.8" x14ac:dyDescent="0.3">
      <c r="C59" s="620" t="s">
        <v>590</v>
      </c>
    </row>
  </sheetData>
  <sheetProtection password="A893" sheet="1" objects="1" scenarios="1"/>
  <pageMargins left="0.7" right="0.7"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zoomScale="85" zoomScaleNormal="85" workbookViewId="0"/>
  </sheetViews>
  <sheetFormatPr defaultRowHeight="14.4" x14ac:dyDescent="0.3"/>
  <cols>
    <col min="1" max="1" width="4.21875" customWidth="1"/>
    <col min="2" max="2" width="3.5546875" customWidth="1"/>
    <col min="3" max="3" width="13.109375" customWidth="1"/>
    <col min="4" max="4" width="1.33203125" customWidth="1"/>
    <col min="5" max="5" width="44.77734375" customWidth="1"/>
    <col min="6" max="6" width="0" hidden="1" customWidth="1"/>
  </cols>
  <sheetData>
    <row r="1" spans="1:19" ht="14.55" x14ac:dyDescent="0.35">
      <c r="A1" s="1"/>
      <c r="B1" s="1"/>
      <c r="C1" s="1"/>
      <c r="D1" s="1"/>
      <c r="E1" s="1"/>
      <c r="F1" s="1"/>
      <c r="G1" s="1"/>
      <c r="H1" s="1"/>
      <c r="I1" s="1"/>
      <c r="J1" s="1"/>
      <c r="K1" s="1"/>
      <c r="L1" s="1"/>
      <c r="M1" s="1"/>
      <c r="N1" s="1"/>
      <c r="O1" s="1"/>
      <c r="P1" s="1"/>
      <c r="Q1" s="1"/>
      <c r="R1" s="1"/>
      <c r="S1" s="1"/>
    </row>
    <row r="2" spans="1:19" ht="14.55" x14ac:dyDescent="0.35">
      <c r="A2" s="1"/>
      <c r="B2" s="549" t="s">
        <v>510</v>
      </c>
      <c r="C2" s="1"/>
      <c r="D2" s="1"/>
      <c r="E2" s="1"/>
      <c r="F2" s="1"/>
      <c r="G2" s="1"/>
      <c r="H2" s="1"/>
      <c r="I2" s="1"/>
      <c r="J2" s="1"/>
      <c r="K2" s="1"/>
      <c r="L2" s="1"/>
      <c r="M2" s="1"/>
      <c r="N2" s="1"/>
      <c r="O2" s="1"/>
      <c r="P2" s="1"/>
      <c r="Q2" s="1"/>
      <c r="R2" s="1"/>
      <c r="S2" s="1"/>
    </row>
    <row r="3" spans="1:19" ht="14.55" x14ac:dyDescent="0.35">
      <c r="A3" s="1"/>
      <c r="B3" s="549"/>
      <c r="C3" s="1"/>
      <c r="D3" s="1"/>
      <c r="E3" s="1"/>
      <c r="F3" s="1"/>
      <c r="G3" s="1"/>
      <c r="H3" s="1"/>
      <c r="I3" s="1"/>
      <c r="J3" s="1"/>
      <c r="K3" s="1"/>
      <c r="L3" s="1"/>
      <c r="M3" s="1"/>
      <c r="N3" s="1"/>
      <c r="O3" s="1"/>
      <c r="P3" s="1"/>
      <c r="Q3" s="1"/>
      <c r="R3" s="1"/>
      <c r="S3" s="1"/>
    </row>
    <row r="4" spans="1:19" ht="14.55" x14ac:dyDescent="0.35">
      <c r="A4" s="1"/>
      <c r="B4" s="549"/>
      <c r="C4" s="550" t="s">
        <v>343</v>
      </c>
      <c r="D4" s="1"/>
      <c r="E4" s="1"/>
      <c r="F4" s="1"/>
      <c r="G4" s="1"/>
      <c r="H4" s="1"/>
      <c r="I4" s="1"/>
      <c r="J4" s="1"/>
      <c r="K4" s="1"/>
      <c r="L4" s="1"/>
      <c r="M4" s="1"/>
      <c r="N4" s="1"/>
      <c r="O4" s="1"/>
      <c r="P4" s="1"/>
      <c r="Q4" s="1"/>
      <c r="R4" s="1"/>
      <c r="S4" s="1"/>
    </row>
    <row r="5" spans="1:19" ht="6" customHeight="1" x14ac:dyDescent="0.35">
      <c r="A5" s="1"/>
      <c r="B5" s="549"/>
      <c r="C5" s="550"/>
      <c r="D5" s="1"/>
      <c r="E5" s="1"/>
      <c r="F5" s="1"/>
      <c r="G5" s="1"/>
      <c r="H5" s="1"/>
      <c r="I5" s="1"/>
      <c r="J5" s="1"/>
      <c r="K5" s="1"/>
      <c r="L5" s="1"/>
      <c r="M5" s="1"/>
      <c r="N5" s="1"/>
      <c r="O5" s="1"/>
      <c r="P5" s="1"/>
      <c r="Q5" s="1"/>
      <c r="R5" s="1"/>
      <c r="S5" s="1"/>
    </row>
    <row r="6" spans="1:19" ht="14.55" x14ac:dyDescent="0.35">
      <c r="A6" s="1"/>
      <c r="B6" s="549"/>
      <c r="C6" s="551" t="s">
        <v>330</v>
      </c>
      <c r="D6" s="1"/>
      <c r="E6" s="1"/>
      <c r="F6" s="1"/>
      <c r="G6" s="1"/>
      <c r="H6" s="1"/>
      <c r="I6" s="1"/>
      <c r="J6" s="1"/>
      <c r="K6" s="1"/>
      <c r="L6" s="1"/>
      <c r="M6" s="1"/>
      <c r="N6" s="1"/>
      <c r="O6" s="1"/>
      <c r="P6" s="1"/>
      <c r="Q6" s="1"/>
      <c r="R6" s="1"/>
      <c r="S6" s="1"/>
    </row>
    <row r="7" spans="1:19" x14ac:dyDescent="0.3">
      <c r="A7" s="1"/>
      <c r="B7" s="549"/>
      <c r="C7" s="552" t="s">
        <v>507</v>
      </c>
      <c r="D7" s="1"/>
      <c r="E7" s="1"/>
      <c r="F7" s="1"/>
      <c r="G7" s="1"/>
      <c r="H7" s="1"/>
      <c r="I7" s="1"/>
      <c r="J7" s="1"/>
      <c r="K7" s="1"/>
      <c r="L7" s="1"/>
      <c r="M7" s="1"/>
      <c r="N7" s="1"/>
      <c r="O7" s="1"/>
      <c r="P7" s="1"/>
      <c r="Q7" s="1"/>
      <c r="R7" s="1"/>
      <c r="S7" s="1"/>
    </row>
    <row r="8" spans="1:19" x14ac:dyDescent="0.3">
      <c r="A8" s="1"/>
      <c r="B8" s="549"/>
      <c r="C8" s="552" t="s">
        <v>508</v>
      </c>
      <c r="D8" s="1"/>
      <c r="E8" s="1"/>
      <c r="F8" s="1"/>
      <c r="G8" s="1"/>
      <c r="H8" s="1"/>
      <c r="I8" s="1"/>
      <c r="J8" s="1"/>
      <c r="K8" s="1"/>
      <c r="L8" s="1"/>
      <c r="M8" s="1"/>
      <c r="N8" s="1"/>
      <c r="O8" s="1"/>
      <c r="P8" s="1"/>
      <c r="Q8" s="1"/>
      <c r="R8" s="1"/>
      <c r="S8" s="1"/>
    </row>
    <row r="9" spans="1:19" x14ac:dyDescent="0.3">
      <c r="A9" s="1"/>
      <c r="B9" s="549"/>
      <c r="C9" s="552" t="s">
        <v>509</v>
      </c>
      <c r="D9" s="1"/>
      <c r="E9" s="1"/>
      <c r="F9" s="1"/>
      <c r="G9" s="1"/>
      <c r="H9" s="1"/>
      <c r="I9" s="1"/>
      <c r="J9" s="1"/>
      <c r="K9" s="1"/>
      <c r="L9" s="1"/>
      <c r="M9" s="1"/>
      <c r="N9" s="1"/>
      <c r="O9" s="1"/>
      <c r="P9" s="1"/>
      <c r="Q9" s="1"/>
      <c r="R9" s="1"/>
      <c r="S9" s="1"/>
    </row>
    <row r="10" spans="1:19" ht="8.5500000000000007" customHeight="1" x14ac:dyDescent="0.35">
      <c r="A10" s="1"/>
      <c r="B10" s="549"/>
      <c r="C10" s="553"/>
      <c r="D10" s="1"/>
      <c r="E10" s="1"/>
      <c r="F10" s="1"/>
      <c r="G10" s="1"/>
      <c r="H10" s="1"/>
      <c r="I10" s="1"/>
      <c r="J10" s="1"/>
      <c r="K10" s="1"/>
      <c r="L10" s="1"/>
      <c r="M10" s="1"/>
      <c r="N10" s="1"/>
      <c r="O10" s="1"/>
      <c r="P10" s="1"/>
      <c r="Q10" s="1"/>
      <c r="R10" s="1"/>
      <c r="S10" s="1"/>
    </row>
    <row r="11" spans="1:19" ht="14.55" x14ac:dyDescent="0.35">
      <c r="A11" s="1"/>
      <c r="B11" s="549"/>
      <c r="C11" s="551" t="s">
        <v>331</v>
      </c>
      <c r="D11" s="1"/>
      <c r="E11" s="1"/>
      <c r="F11" s="1"/>
      <c r="G11" s="1"/>
      <c r="H11" s="1"/>
      <c r="I11" s="1"/>
      <c r="J11" s="1"/>
      <c r="K11" s="1"/>
      <c r="L11" s="1"/>
      <c r="M11" s="1"/>
      <c r="N11" s="1"/>
      <c r="O11" s="1"/>
      <c r="P11" s="1"/>
      <c r="Q11" s="1"/>
      <c r="R11" s="1"/>
      <c r="S11" s="1"/>
    </row>
    <row r="12" spans="1:19" ht="15" customHeight="1" x14ac:dyDescent="0.35">
      <c r="A12" s="1"/>
      <c r="B12" s="549"/>
      <c r="C12" s="554" t="s">
        <v>332</v>
      </c>
      <c r="D12" s="1"/>
      <c r="E12" s="1"/>
      <c r="F12" s="1"/>
      <c r="G12" s="1"/>
      <c r="H12" s="1"/>
      <c r="I12" s="1"/>
      <c r="J12" s="1"/>
      <c r="K12" s="1"/>
      <c r="L12" s="1"/>
      <c r="M12" s="1"/>
      <c r="N12" s="1"/>
      <c r="O12" s="1"/>
      <c r="P12" s="1"/>
      <c r="Q12" s="1"/>
      <c r="R12" s="1"/>
      <c r="S12" s="1"/>
    </row>
    <row r="13" spans="1:19" ht="15" customHeight="1" x14ac:dyDescent="0.35">
      <c r="A13" s="1"/>
      <c r="B13" s="549"/>
      <c r="C13" s="555" t="s">
        <v>496</v>
      </c>
      <c r="D13" s="1"/>
      <c r="E13" s="1"/>
      <c r="F13" s="1"/>
      <c r="G13" s="1"/>
      <c r="H13" s="1"/>
      <c r="I13" s="1"/>
      <c r="J13" s="1"/>
      <c r="K13" s="1"/>
      <c r="L13" s="1"/>
      <c r="M13" s="1"/>
      <c r="N13" s="1"/>
      <c r="O13" s="1"/>
      <c r="P13" s="1"/>
      <c r="Q13" s="1"/>
      <c r="R13" s="1"/>
      <c r="S13" s="1"/>
    </row>
    <row r="14" spans="1:19" ht="15" customHeight="1" x14ac:dyDescent="0.35">
      <c r="A14" s="1"/>
      <c r="B14" s="549"/>
      <c r="C14" s="555" t="s">
        <v>333</v>
      </c>
      <c r="D14" s="1"/>
      <c r="E14" s="1"/>
      <c r="F14" s="1"/>
      <c r="G14" s="1"/>
      <c r="H14" s="1"/>
      <c r="I14" s="1"/>
      <c r="J14" s="1"/>
      <c r="K14" s="1"/>
      <c r="L14" s="1"/>
      <c r="M14" s="1"/>
      <c r="N14" s="1"/>
      <c r="O14" s="1"/>
      <c r="P14" s="1"/>
      <c r="Q14" s="1"/>
      <c r="R14" s="1"/>
      <c r="S14" s="1"/>
    </row>
    <row r="15" spans="1:19" ht="15" customHeight="1" x14ac:dyDescent="0.35">
      <c r="A15" s="1"/>
      <c r="B15" s="549"/>
      <c r="C15" s="555" t="s">
        <v>334</v>
      </c>
      <c r="D15" s="1"/>
      <c r="E15" s="1"/>
      <c r="F15" s="1"/>
      <c r="G15" s="1"/>
      <c r="H15" s="1"/>
      <c r="I15" s="1"/>
      <c r="J15" s="1"/>
      <c r="K15" s="1"/>
      <c r="L15" s="1"/>
      <c r="M15" s="1"/>
      <c r="N15" s="1"/>
      <c r="O15" s="1"/>
      <c r="P15" s="1"/>
      <c r="Q15" s="1"/>
      <c r="R15" s="1"/>
      <c r="S15" s="1"/>
    </row>
    <row r="16" spans="1:19" ht="15" customHeight="1" x14ac:dyDescent="0.35">
      <c r="A16" s="1"/>
      <c r="B16" s="549"/>
      <c r="C16" s="556" t="s">
        <v>344</v>
      </c>
      <c r="D16" s="1"/>
      <c r="E16" s="1"/>
      <c r="F16" s="1"/>
      <c r="G16" s="1"/>
      <c r="H16" s="1"/>
      <c r="I16" s="1"/>
      <c r="J16" s="1"/>
      <c r="K16" s="1"/>
      <c r="L16" s="1"/>
      <c r="M16" s="1"/>
      <c r="N16" s="1"/>
      <c r="O16" s="1"/>
      <c r="P16" s="1"/>
      <c r="Q16" s="1"/>
      <c r="R16" s="1"/>
      <c r="S16" s="1"/>
    </row>
    <row r="17" spans="1:19" ht="14.55" x14ac:dyDescent="0.35">
      <c r="A17" s="1"/>
      <c r="B17" s="549"/>
      <c r="C17" s="1"/>
      <c r="D17" s="1"/>
      <c r="E17" s="1"/>
      <c r="F17" s="1"/>
      <c r="G17" s="1"/>
      <c r="H17" s="1"/>
      <c r="I17" s="1"/>
      <c r="J17" s="1"/>
      <c r="K17" s="1"/>
      <c r="L17" s="1"/>
      <c r="M17" s="1"/>
      <c r="N17" s="1"/>
      <c r="O17" s="1"/>
      <c r="P17" s="1"/>
      <c r="Q17" s="1"/>
      <c r="R17" s="1"/>
      <c r="S17" s="1"/>
    </row>
    <row r="18" spans="1:19" ht="14.55" x14ac:dyDescent="0.35">
      <c r="A18" s="1"/>
      <c r="B18" s="1"/>
      <c r="C18" s="549" t="s">
        <v>131</v>
      </c>
      <c r="D18" s="549"/>
      <c r="E18" s="1"/>
      <c r="F18" s="1"/>
      <c r="G18" s="1"/>
      <c r="H18" s="1"/>
      <c r="I18" s="1"/>
      <c r="J18" s="1"/>
      <c r="K18" s="1"/>
      <c r="L18" s="1"/>
      <c r="M18" s="1"/>
      <c r="N18" s="1"/>
      <c r="O18" s="1"/>
      <c r="P18" s="1"/>
      <c r="Q18" s="1"/>
      <c r="R18" s="1"/>
      <c r="S18" s="1"/>
    </row>
    <row r="19" spans="1:19" ht="14.55" x14ac:dyDescent="0.35">
      <c r="A19" s="1"/>
      <c r="B19" s="1"/>
      <c r="C19" s="557" t="s">
        <v>133</v>
      </c>
      <c r="D19" s="557"/>
      <c r="E19" s="558"/>
      <c r="F19" s="1"/>
      <c r="G19" s="1"/>
      <c r="H19" s="1"/>
      <c r="I19" s="1"/>
      <c r="J19" s="1"/>
      <c r="K19" s="1"/>
      <c r="L19" s="1"/>
      <c r="M19" s="1"/>
      <c r="N19" s="1"/>
      <c r="O19" s="1"/>
      <c r="P19" s="1"/>
      <c r="Q19" s="1"/>
      <c r="R19" s="1"/>
      <c r="S19" s="1"/>
    </row>
    <row r="20" spans="1:19" ht="14.55" x14ac:dyDescent="0.35">
      <c r="A20" s="1"/>
      <c r="B20" s="1"/>
      <c r="C20" s="355" t="s">
        <v>511</v>
      </c>
      <c r="D20" s="557"/>
      <c r="E20" s="558" t="s">
        <v>512</v>
      </c>
      <c r="F20" s="1"/>
      <c r="G20" s="1"/>
      <c r="H20" s="1"/>
      <c r="I20" s="1"/>
      <c r="J20" s="1"/>
      <c r="K20" s="1"/>
      <c r="L20" s="1"/>
      <c r="M20" s="1"/>
      <c r="N20" s="1"/>
      <c r="O20" s="1"/>
      <c r="P20" s="1"/>
      <c r="Q20" s="1"/>
      <c r="R20" s="1"/>
      <c r="S20" s="1"/>
    </row>
    <row r="21" spans="1:19" ht="14.55" x14ac:dyDescent="0.35">
      <c r="A21" s="1"/>
      <c r="B21" s="1"/>
      <c r="C21" s="355" t="s">
        <v>127</v>
      </c>
      <c r="D21" s="355"/>
      <c r="E21" s="1" t="s">
        <v>380</v>
      </c>
      <c r="F21" s="1"/>
      <c r="G21" s="1"/>
      <c r="H21" s="1"/>
      <c r="I21" s="1"/>
      <c r="J21" s="1"/>
      <c r="K21" s="1"/>
      <c r="L21" s="1"/>
      <c r="M21" s="1"/>
      <c r="N21" s="1"/>
      <c r="O21" s="1"/>
      <c r="P21" s="1"/>
      <c r="Q21" s="1"/>
      <c r="R21" s="1"/>
      <c r="S21" s="1"/>
    </row>
    <row r="22" spans="1:19" ht="14.55" x14ac:dyDescent="0.35">
      <c r="A22" s="1"/>
      <c r="B22" s="1"/>
      <c r="C22" s="355" t="s">
        <v>125</v>
      </c>
      <c r="D22" s="355"/>
      <c r="E22" s="1" t="s">
        <v>132</v>
      </c>
      <c r="F22" s="1"/>
      <c r="G22" s="1"/>
      <c r="H22" s="1"/>
      <c r="I22" s="1"/>
      <c r="J22" s="1"/>
      <c r="K22" s="1"/>
      <c r="L22" s="1"/>
      <c r="M22" s="1"/>
      <c r="N22" s="1"/>
      <c r="O22" s="1"/>
      <c r="P22" s="1"/>
      <c r="Q22" s="1"/>
      <c r="R22" s="1"/>
      <c r="S22" s="1"/>
    </row>
    <row r="23" spans="1:19" ht="14.55" x14ac:dyDescent="0.35">
      <c r="A23" s="1"/>
      <c r="B23" s="1"/>
      <c r="C23" s="355" t="s">
        <v>126</v>
      </c>
      <c r="D23" s="355"/>
      <c r="E23" s="1" t="s">
        <v>147</v>
      </c>
      <c r="F23" s="1"/>
      <c r="G23" s="1"/>
      <c r="H23" s="1"/>
      <c r="I23" s="1"/>
      <c r="J23" s="1"/>
      <c r="K23" s="1"/>
      <c r="L23" s="1"/>
      <c r="M23" s="1"/>
      <c r="N23" s="1"/>
      <c r="O23" s="1"/>
      <c r="P23" s="1"/>
      <c r="Q23" s="1"/>
      <c r="R23" s="1"/>
      <c r="S23" s="1"/>
    </row>
    <row r="24" spans="1:19" ht="14.55" x14ac:dyDescent="0.35">
      <c r="A24" s="1"/>
      <c r="B24" s="1"/>
      <c r="C24" s="355" t="s">
        <v>128</v>
      </c>
      <c r="D24" s="355"/>
      <c r="E24" s="1" t="s">
        <v>129</v>
      </c>
      <c r="F24" s="1"/>
      <c r="G24" s="1"/>
      <c r="H24" s="1"/>
      <c r="I24" s="1"/>
      <c r="J24" s="1"/>
      <c r="K24" s="1"/>
      <c r="L24" s="1"/>
      <c r="M24" s="1"/>
      <c r="N24" s="1"/>
      <c r="O24" s="1"/>
      <c r="P24" s="1"/>
      <c r="Q24" s="1"/>
      <c r="R24" s="1"/>
      <c r="S24" s="1"/>
    </row>
    <row r="25" spans="1:19" ht="14.55" x14ac:dyDescent="0.35">
      <c r="A25" s="1"/>
      <c r="B25" s="1"/>
      <c r="C25" s="1"/>
      <c r="D25" s="1"/>
      <c r="E25" s="1"/>
      <c r="F25" s="1"/>
      <c r="G25" s="1"/>
      <c r="H25" s="1"/>
      <c r="I25" s="1"/>
      <c r="J25" s="1"/>
      <c r="K25" s="1"/>
      <c r="L25" s="1"/>
      <c r="M25" s="1"/>
      <c r="N25" s="1"/>
      <c r="O25" s="1"/>
      <c r="P25" s="1"/>
      <c r="Q25" s="1"/>
      <c r="R25" s="1"/>
      <c r="S25" s="1"/>
    </row>
    <row r="26" spans="1:19" ht="14.55" x14ac:dyDescent="0.35">
      <c r="A26" s="1"/>
      <c r="B26" s="1"/>
      <c r="C26" s="550" t="s">
        <v>124</v>
      </c>
      <c r="D26" s="550"/>
      <c r="E26" s="1"/>
      <c r="F26" s="1"/>
      <c r="G26" s="1"/>
      <c r="H26" s="1"/>
      <c r="I26" s="1"/>
      <c r="J26" s="1"/>
      <c r="K26" s="1"/>
      <c r="L26" s="1"/>
      <c r="M26" s="1"/>
      <c r="N26" s="1"/>
      <c r="O26" s="1"/>
      <c r="P26" s="1"/>
      <c r="Q26" s="1"/>
      <c r="R26" s="1"/>
      <c r="S26" s="1"/>
    </row>
    <row r="27" spans="1:19" ht="14.55" x14ac:dyDescent="0.35">
      <c r="A27" s="1"/>
      <c r="B27" s="1"/>
      <c r="C27" s="355" t="s">
        <v>149</v>
      </c>
      <c r="D27" s="355"/>
      <c r="E27" s="1"/>
      <c r="F27" s="1"/>
      <c r="G27" s="1"/>
      <c r="H27" s="1"/>
      <c r="I27" s="1"/>
      <c r="J27" s="1"/>
      <c r="K27" s="1"/>
      <c r="L27" s="1"/>
      <c r="M27" s="1"/>
      <c r="N27" s="1"/>
      <c r="O27" s="1"/>
      <c r="P27" s="1"/>
      <c r="Q27" s="1"/>
      <c r="R27" s="1"/>
      <c r="S27" s="1"/>
    </row>
    <row r="28" spans="1:19" ht="14.55" x14ac:dyDescent="0.35">
      <c r="A28" s="1"/>
      <c r="B28" s="1"/>
      <c r="C28" s="553" t="s">
        <v>329</v>
      </c>
      <c r="D28" s="553"/>
      <c r="E28" s="1"/>
      <c r="F28" s="1"/>
      <c r="G28" s="1"/>
      <c r="H28" s="1"/>
      <c r="I28" s="1"/>
      <c r="J28" s="1"/>
      <c r="K28" s="1"/>
      <c r="L28" s="1"/>
      <c r="M28" s="1"/>
      <c r="N28" s="1"/>
      <c r="O28" s="1"/>
      <c r="P28" s="1"/>
      <c r="Q28" s="1"/>
      <c r="R28" s="1"/>
      <c r="S28" s="1"/>
    </row>
    <row r="29" spans="1:19" ht="14.55" x14ac:dyDescent="0.35">
      <c r="A29" s="1"/>
      <c r="B29" s="1"/>
      <c r="C29" s="553" t="s">
        <v>396</v>
      </c>
      <c r="D29" s="553"/>
      <c r="E29" s="1"/>
      <c r="F29" s="1"/>
      <c r="G29" s="1"/>
      <c r="H29" s="1"/>
      <c r="I29" s="1"/>
      <c r="J29" s="1"/>
      <c r="K29" s="1"/>
      <c r="L29" s="1"/>
      <c r="M29" s="1"/>
      <c r="N29" s="1"/>
      <c r="O29" s="1"/>
      <c r="P29" s="1"/>
      <c r="Q29" s="1"/>
      <c r="R29" s="1"/>
      <c r="S29" s="1"/>
    </row>
    <row r="30" spans="1:19" x14ac:dyDescent="0.3">
      <c r="A30" s="1"/>
      <c r="B30" s="1"/>
      <c r="C30" s="559" t="s">
        <v>179</v>
      </c>
      <c r="D30" s="560"/>
      <c r="E30" s="1"/>
      <c r="F30" s="1"/>
      <c r="G30" s="1"/>
      <c r="H30" s="1"/>
      <c r="I30" s="1"/>
      <c r="J30" s="1"/>
      <c r="K30" s="1"/>
      <c r="L30" s="1"/>
      <c r="M30" s="1"/>
      <c r="N30" s="1"/>
      <c r="O30" s="1"/>
      <c r="P30" s="1"/>
      <c r="Q30" s="1"/>
      <c r="R30" s="1"/>
      <c r="S30" s="1"/>
    </row>
    <row r="31" spans="1:19" x14ac:dyDescent="0.3">
      <c r="A31" s="1"/>
      <c r="B31" s="1"/>
      <c r="C31" s="559" t="s">
        <v>130</v>
      </c>
      <c r="D31" s="560"/>
      <c r="E31" s="1"/>
      <c r="F31" s="1"/>
      <c r="G31" s="1"/>
      <c r="H31" s="1"/>
      <c r="I31" s="1"/>
      <c r="J31" s="1"/>
      <c r="K31" s="1"/>
      <c r="L31" s="1"/>
      <c r="M31" s="1"/>
      <c r="N31" s="1"/>
      <c r="O31" s="1"/>
      <c r="P31" s="1"/>
      <c r="Q31" s="1"/>
      <c r="R31" s="1"/>
      <c r="S31" s="1"/>
    </row>
    <row r="32" spans="1:19" x14ac:dyDescent="0.3">
      <c r="A32" s="1"/>
      <c r="B32" s="1"/>
      <c r="C32" s="355" t="s">
        <v>180</v>
      </c>
      <c r="D32" s="355"/>
      <c r="E32" s="1"/>
      <c r="F32" s="1"/>
      <c r="G32" s="1"/>
      <c r="H32" s="1"/>
      <c r="I32" s="1"/>
      <c r="J32" s="1"/>
      <c r="K32" s="1"/>
      <c r="L32" s="1"/>
      <c r="M32" s="1"/>
      <c r="N32" s="1"/>
      <c r="O32" s="1"/>
      <c r="P32" s="1"/>
      <c r="Q32" s="1"/>
      <c r="R32" s="1"/>
      <c r="S32" s="1"/>
    </row>
    <row r="33" spans="1:19" x14ac:dyDescent="0.3">
      <c r="A33" s="1"/>
      <c r="B33" s="1"/>
      <c r="C33" s="355" t="s">
        <v>150</v>
      </c>
      <c r="D33" s="355"/>
      <c r="E33" s="1"/>
      <c r="F33" s="1"/>
      <c r="G33" s="1"/>
      <c r="H33" s="1"/>
      <c r="I33" s="1"/>
      <c r="J33" s="1"/>
      <c r="K33" s="1"/>
      <c r="L33" s="1"/>
      <c r="M33" s="1"/>
      <c r="N33" s="1"/>
      <c r="O33" s="1"/>
      <c r="P33" s="1"/>
      <c r="Q33" s="1"/>
      <c r="R33" s="1"/>
      <c r="S33" s="1"/>
    </row>
    <row r="34" spans="1:19" x14ac:dyDescent="0.3">
      <c r="A34" s="1"/>
      <c r="B34" s="1"/>
      <c r="C34" s="355" t="s">
        <v>155</v>
      </c>
      <c r="D34" s="355"/>
      <c r="E34" s="1"/>
      <c r="F34" s="1"/>
      <c r="G34" s="1"/>
      <c r="H34" s="1"/>
      <c r="I34" s="1"/>
      <c r="J34" s="1"/>
      <c r="K34" s="1"/>
      <c r="L34" s="1"/>
      <c r="M34" s="1"/>
      <c r="N34" s="1"/>
      <c r="O34" s="1"/>
      <c r="P34" s="1"/>
      <c r="Q34" s="1"/>
      <c r="R34" s="1"/>
      <c r="S34" s="1"/>
    </row>
    <row r="35" spans="1:19" x14ac:dyDescent="0.3">
      <c r="A35" s="1"/>
      <c r="B35" s="1"/>
      <c r="C35" s="355"/>
      <c r="D35" s="355"/>
      <c r="E35" s="1"/>
      <c r="F35" s="1"/>
      <c r="G35" s="1"/>
      <c r="H35" s="1"/>
      <c r="I35" s="1"/>
      <c r="J35" s="1"/>
      <c r="K35" s="1"/>
      <c r="L35" s="1"/>
      <c r="M35" s="1"/>
      <c r="N35" s="1"/>
      <c r="O35" s="1"/>
      <c r="P35" s="1"/>
      <c r="Q35" s="1"/>
      <c r="R35" s="1"/>
      <c r="S35" s="1"/>
    </row>
    <row r="36" spans="1:19" x14ac:dyDescent="0.3">
      <c r="A36" s="1"/>
      <c r="B36" s="1"/>
      <c r="C36" s="549" t="s">
        <v>181</v>
      </c>
      <c r="D36" s="549"/>
      <c r="E36" s="1"/>
      <c r="F36" s="1"/>
      <c r="G36" s="1"/>
      <c r="H36" s="1"/>
      <c r="I36" s="1"/>
      <c r="J36" s="1"/>
      <c r="K36" s="1"/>
      <c r="L36" s="1"/>
      <c r="M36" s="1"/>
      <c r="N36" s="1"/>
      <c r="O36" s="1"/>
      <c r="P36" s="1"/>
      <c r="Q36" s="1"/>
      <c r="R36" s="1"/>
      <c r="S36" s="1"/>
    </row>
    <row r="37" spans="1:19" x14ac:dyDescent="0.3">
      <c r="A37" s="1"/>
      <c r="B37" s="1"/>
      <c r="C37" s="564"/>
      <c r="D37" s="561"/>
      <c r="E37" s="1" t="s">
        <v>154</v>
      </c>
      <c r="F37" s="1"/>
      <c r="G37" s="1"/>
      <c r="H37" s="1"/>
      <c r="I37" s="1"/>
      <c r="J37" s="1"/>
      <c r="K37" s="1"/>
      <c r="L37" s="1"/>
      <c r="M37" s="1"/>
      <c r="N37" s="1"/>
      <c r="O37" s="1"/>
      <c r="P37" s="1"/>
      <c r="Q37" s="1"/>
      <c r="R37" s="1"/>
      <c r="S37" s="1"/>
    </row>
    <row r="38" spans="1:19" x14ac:dyDescent="0.3">
      <c r="A38" s="1"/>
      <c r="B38" s="1"/>
      <c r="C38" s="6" t="s">
        <v>68</v>
      </c>
      <c r="D38" s="561"/>
      <c r="E38" s="1" t="s">
        <v>151</v>
      </c>
      <c r="F38" s="1"/>
      <c r="G38" s="1"/>
      <c r="H38" s="1"/>
      <c r="I38" s="1"/>
      <c r="J38" s="1"/>
      <c r="K38" s="1"/>
      <c r="L38" s="1"/>
      <c r="M38" s="1"/>
      <c r="N38" s="1"/>
      <c r="O38" s="1"/>
      <c r="P38" s="1"/>
      <c r="Q38" s="1"/>
      <c r="R38" s="1"/>
      <c r="S38" s="1"/>
    </row>
    <row r="39" spans="1:19" x14ac:dyDescent="0.3">
      <c r="A39" s="1"/>
      <c r="B39" s="1"/>
      <c r="C39" s="562" t="s">
        <v>70</v>
      </c>
      <c r="D39" s="561"/>
      <c r="E39" s="1" t="s">
        <v>152</v>
      </c>
      <c r="F39" s="1"/>
      <c r="G39" s="1"/>
      <c r="H39" s="1"/>
      <c r="I39" s="1"/>
      <c r="J39" s="1"/>
      <c r="K39" s="1"/>
      <c r="L39" s="1"/>
      <c r="M39" s="1"/>
      <c r="N39" s="1"/>
      <c r="O39" s="1"/>
      <c r="P39" s="1"/>
      <c r="Q39" s="1"/>
      <c r="R39" s="1"/>
      <c r="S39" s="1"/>
    </row>
    <row r="40" spans="1:19" x14ac:dyDescent="0.3">
      <c r="A40" s="1"/>
      <c r="B40" s="1"/>
      <c r="C40" s="561" t="s">
        <v>69</v>
      </c>
      <c r="D40" s="561"/>
      <c r="E40" s="1" t="s">
        <v>153</v>
      </c>
      <c r="F40" s="1"/>
      <c r="G40" s="1"/>
      <c r="H40" s="1"/>
      <c r="I40" s="1"/>
      <c r="J40" s="1"/>
      <c r="K40" s="1"/>
      <c r="L40" s="1"/>
      <c r="M40" s="1"/>
      <c r="N40" s="1"/>
      <c r="O40" s="1"/>
      <c r="P40" s="1"/>
      <c r="Q40" s="1"/>
      <c r="R40" s="1"/>
      <c r="S40" s="1"/>
    </row>
    <row r="41" spans="1:19" x14ac:dyDescent="0.3">
      <c r="A41" s="1"/>
      <c r="B41" s="1"/>
      <c r="C41" s="1"/>
      <c r="D41" s="1"/>
      <c r="E41" s="1"/>
      <c r="F41" s="1"/>
      <c r="G41" s="1"/>
      <c r="H41" s="1"/>
      <c r="I41" s="1"/>
      <c r="J41" s="1"/>
      <c r="K41" s="1"/>
      <c r="L41" s="1"/>
      <c r="M41" s="1"/>
      <c r="N41" s="1"/>
      <c r="O41" s="1"/>
      <c r="P41" s="1"/>
      <c r="Q41" s="1"/>
      <c r="R41" s="1"/>
      <c r="S41" s="1"/>
    </row>
    <row r="42" spans="1:19" x14ac:dyDescent="0.3">
      <c r="A42" s="1"/>
      <c r="B42" s="1"/>
      <c r="C42" s="549" t="s">
        <v>249</v>
      </c>
      <c r="D42" s="1"/>
      <c r="E42" s="1"/>
      <c r="F42" s="1"/>
      <c r="G42" s="1"/>
      <c r="H42" s="1"/>
      <c r="I42" s="1"/>
      <c r="J42" s="1"/>
      <c r="K42" s="1"/>
      <c r="L42" s="1"/>
      <c r="M42" s="1"/>
      <c r="N42" s="1"/>
      <c r="O42" s="1"/>
      <c r="P42" s="1"/>
      <c r="Q42" s="1"/>
      <c r="R42" s="1"/>
      <c r="S42" s="1"/>
    </row>
    <row r="43" spans="1:19" x14ac:dyDescent="0.3">
      <c r="A43" s="1"/>
      <c r="B43" s="1"/>
      <c r="C43" s="1" t="s">
        <v>410</v>
      </c>
      <c r="D43" s="1"/>
      <c r="E43" s="1"/>
      <c r="F43" s="1"/>
      <c r="G43" s="1"/>
      <c r="H43" s="1"/>
      <c r="I43" s="1"/>
      <c r="J43" s="1"/>
      <c r="K43" s="1"/>
      <c r="L43" s="1"/>
      <c r="M43" s="1"/>
      <c r="N43" s="1"/>
      <c r="O43" s="1"/>
      <c r="P43" s="1"/>
      <c r="Q43" s="1"/>
      <c r="R43" s="1"/>
      <c r="S43" s="1"/>
    </row>
    <row r="44" spans="1:19" x14ac:dyDescent="0.3">
      <c r="A44" s="1"/>
      <c r="B44" s="1"/>
      <c r="C44" s="355" t="s">
        <v>411</v>
      </c>
      <c r="D44" s="1"/>
      <c r="E44" s="1"/>
      <c r="F44" s="1"/>
      <c r="G44" s="1"/>
      <c r="H44" s="1"/>
      <c r="I44" s="1"/>
      <c r="J44" s="1"/>
      <c r="K44" s="1"/>
      <c r="L44" s="1"/>
      <c r="M44" s="1"/>
      <c r="N44" s="1"/>
      <c r="O44" s="1"/>
      <c r="P44" s="1"/>
      <c r="Q44" s="1"/>
      <c r="R44" s="1"/>
      <c r="S44" s="1"/>
    </row>
    <row r="45" spans="1:19" x14ac:dyDescent="0.3">
      <c r="A45" s="1"/>
      <c r="B45" s="1"/>
      <c r="C45" s="563" t="s">
        <v>335</v>
      </c>
      <c r="D45" s="1"/>
      <c r="E45" s="1"/>
      <c r="F45" s="1"/>
      <c r="G45" s="1"/>
      <c r="H45" s="1"/>
      <c r="I45" s="1"/>
      <c r="J45" s="1"/>
      <c r="K45" s="1"/>
      <c r="L45" s="1"/>
      <c r="M45" s="1"/>
      <c r="N45" s="1"/>
      <c r="O45" s="1"/>
      <c r="P45" s="1"/>
      <c r="Q45" s="1"/>
      <c r="R45" s="1"/>
      <c r="S45" s="1"/>
    </row>
    <row r="46" spans="1:19" x14ac:dyDescent="0.3">
      <c r="A46" s="1"/>
      <c r="B46" s="1"/>
      <c r="C46" s="563" t="s">
        <v>336</v>
      </c>
      <c r="D46" s="1"/>
      <c r="E46" s="1"/>
      <c r="F46" s="1"/>
      <c r="G46" s="1"/>
      <c r="H46" s="1"/>
      <c r="I46" s="1"/>
      <c r="J46" s="1"/>
      <c r="K46" s="1"/>
      <c r="L46" s="1"/>
      <c r="M46" s="1"/>
      <c r="N46" s="1"/>
      <c r="O46" s="1"/>
      <c r="P46" s="1"/>
      <c r="Q46" s="1"/>
      <c r="R46" s="1"/>
      <c r="S46" s="1"/>
    </row>
    <row r="47" spans="1:19" x14ac:dyDescent="0.3">
      <c r="A47" s="1"/>
      <c r="B47" s="1"/>
      <c r="C47" s="563" t="s">
        <v>412</v>
      </c>
      <c r="D47" s="1"/>
      <c r="E47" s="1"/>
      <c r="F47" s="1"/>
      <c r="G47" s="1"/>
      <c r="H47" s="1"/>
      <c r="I47" s="1"/>
      <c r="J47" s="1"/>
      <c r="K47" s="1"/>
      <c r="L47" s="1"/>
      <c r="M47" s="1"/>
      <c r="N47" s="1"/>
      <c r="O47" s="1"/>
      <c r="P47" s="1"/>
      <c r="Q47" s="1"/>
      <c r="R47" s="1"/>
      <c r="S47" s="1"/>
    </row>
    <row r="48" spans="1:19" x14ac:dyDescent="0.3">
      <c r="A48" s="1"/>
      <c r="B48" s="1"/>
      <c r="C48" s="1"/>
      <c r="D48" s="1"/>
      <c r="E48" s="1"/>
      <c r="F48" s="1"/>
      <c r="G48" s="1"/>
      <c r="H48" s="1"/>
      <c r="I48" s="1"/>
      <c r="J48" s="1"/>
      <c r="K48" s="1"/>
      <c r="L48" s="1"/>
      <c r="M48" s="1"/>
      <c r="N48" s="1"/>
      <c r="O48" s="1"/>
      <c r="P48" s="1"/>
      <c r="Q48" s="1"/>
      <c r="R48" s="1"/>
      <c r="S48" s="1"/>
    </row>
    <row r="49" spans="1:19" x14ac:dyDescent="0.3">
      <c r="A49" s="1"/>
      <c r="B49" s="1"/>
      <c r="C49" s="355"/>
      <c r="D49" s="1"/>
      <c r="E49" s="1"/>
      <c r="F49" s="1"/>
      <c r="G49" s="1"/>
      <c r="H49" s="1"/>
      <c r="I49" s="1"/>
      <c r="J49" s="1"/>
      <c r="K49" s="1"/>
      <c r="L49" s="1"/>
      <c r="M49" s="1"/>
      <c r="N49" s="1"/>
      <c r="O49" s="1"/>
      <c r="P49" s="1"/>
      <c r="Q49" s="1"/>
      <c r="R49" s="1"/>
      <c r="S49" s="1"/>
    </row>
    <row r="50" spans="1:19" x14ac:dyDescent="0.3">
      <c r="A50" s="1"/>
      <c r="B50" s="1"/>
      <c r="C50" s="1"/>
      <c r="D50" s="1"/>
      <c r="E50" s="1"/>
      <c r="F50" s="1"/>
      <c r="G50" s="1"/>
      <c r="H50" s="1"/>
      <c r="I50" s="1"/>
      <c r="J50" s="1"/>
      <c r="K50" s="1"/>
      <c r="L50" s="1"/>
      <c r="M50" s="1"/>
      <c r="N50" s="1"/>
      <c r="O50" s="1"/>
      <c r="P50" s="1"/>
      <c r="Q50" s="1"/>
      <c r="R50" s="1"/>
      <c r="S50" s="1"/>
    </row>
    <row r="51" spans="1:19" x14ac:dyDescent="0.3">
      <c r="A51" s="1"/>
      <c r="B51" s="1"/>
      <c r="C51" s="1"/>
      <c r="D51" s="1"/>
      <c r="E51" s="1"/>
      <c r="F51" s="1"/>
      <c r="G51" s="1"/>
      <c r="H51" s="1"/>
      <c r="I51" s="1"/>
      <c r="J51" s="1"/>
      <c r="K51" s="1"/>
      <c r="L51" s="1"/>
      <c r="M51" s="1"/>
      <c r="N51" s="1"/>
      <c r="O51" s="1"/>
      <c r="P51" s="1"/>
      <c r="Q51" s="1"/>
      <c r="R51" s="1"/>
      <c r="S51" s="1"/>
    </row>
    <row r="52" spans="1:19" x14ac:dyDescent="0.3">
      <c r="A52" s="1"/>
      <c r="B52" s="1"/>
      <c r="C52" s="1"/>
      <c r="D52" s="1"/>
      <c r="E52" s="1"/>
      <c r="F52" s="1"/>
      <c r="G52" s="1"/>
      <c r="H52" s="1"/>
      <c r="I52" s="1"/>
      <c r="J52" s="1"/>
      <c r="K52" s="1"/>
      <c r="L52" s="1"/>
      <c r="M52" s="1"/>
      <c r="N52" s="1"/>
      <c r="O52" s="1"/>
      <c r="P52" s="1"/>
      <c r="Q52" s="1"/>
      <c r="R52" s="1"/>
      <c r="S52" s="1"/>
    </row>
  </sheetData>
  <sheetProtection algorithmName="SHA-512" hashValue="6oGUmca+FRV3mdVT2o5xGgGL8jATP1AxyoRJPV8qZ+AgWO/HVhwKEDyJ32fVWDXqiWBlfOTjygvT7JewgM5Rlg==" saltValue="NrV3INqPUiaPgAqNbqpNKg==" spinCount="100000" sheet="1" objects="1" scenarios="1"/>
  <pageMargins left="0.25" right="0.25" top="0.75" bottom="0.75" header="0.3" footer="0.3"/>
  <pageSetup scale="5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showGridLines="0" workbookViewId="0">
      <pane ySplit="4" topLeftCell="A5" activePane="bottomLeft" state="frozen"/>
      <selection activeCell="B7" sqref="B7"/>
      <selection pane="bottomLeft" activeCell="A3" sqref="A3"/>
    </sheetView>
  </sheetViews>
  <sheetFormatPr defaultRowHeight="14.4" x14ac:dyDescent="0.3"/>
  <cols>
    <col min="1" max="1" width="4.5546875" customWidth="1"/>
    <col min="2" max="2" width="32" customWidth="1"/>
    <col min="3" max="3" width="11.88671875" customWidth="1"/>
    <col min="4" max="4" width="14.77734375" customWidth="1"/>
    <col min="5" max="5" width="47.21875" customWidth="1"/>
    <col min="6" max="6" width="53.21875" customWidth="1"/>
  </cols>
  <sheetData>
    <row r="1" spans="1:6" ht="14.55" x14ac:dyDescent="0.35">
      <c r="A1" s="34" t="s">
        <v>262</v>
      </c>
    </row>
    <row r="2" spans="1:6" ht="14.55" x14ac:dyDescent="0.35">
      <c r="A2" t="s">
        <v>338</v>
      </c>
    </row>
    <row r="4" spans="1:6" ht="14.55" x14ac:dyDescent="0.35">
      <c r="A4" s="402" t="s">
        <v>340</v>
      </c>
      <c r="B4" s="401" t="s">
        <v>260</v>
      </c>
      <c r="C4" s="402" t="s">
        <v>261</v>
      </c>
      <c r="D4" s="402" t="s">
        <v>455</v>
      </c>
      <c r="E4" s="402" t="s">
        <v>263</v>
      </c>
      <c r="F4" s="402" t="s">
        <v>327</v>
      </c>
    </row>
    <row r="5" spans="1:6" ht="14.55" x14ac:dyDescent="0.35">
      <c r="A5" s="509" t="s">
        <v>341</v>
      </c>
      <c r="B5" s="398" t="s">
        <v>339</v>
      </c>
      <c r="C5" s="398">
        <v>43605</v>
      </c>
      <c r="D5" s="398" t="s">
        <v>456</v>
      </c>
      <c r="E5" s="403" t="s">
        <v>457</v>
      </c>
      <c r="F5" s="404" t="s">
        <v>337</v>
      </c>
    </row>
    <row r="6" spans="1:6" ht="14.55" x14ac:dyDescent="0.35">
      <c r="A6" s="452">
        <v>1</v>
      </c>
      <c r="B6" s="399"/>
      <c r="C6" s="399"/>
      <c r="D6" s="399"/>
      <c r="E6" s="405"/>
      <c r="F6" s="405"/>
    </row>
    <row r="7" spans="1:6" ht="14.55" x14ac:dyDescent="0.35">
      <c r="A7" s="452">
        <f t="shared" ref="A7:A35" si="0">A6+1</f>
        <v>2</v>
      </c>
      <c r="B7" s="399"/>
      <c r="C7" s="399"/>
      <c r="D7" s="399"/>
      <c r="E7" s="405"/>
      <c r="F7" s="405"/>
    </row>
    <row r="8" spans="1:6" ht="14.55" x14ac:dyDescent="0.35">
      <c r="A8" s="452">
        <f t="shared" si="0"/>
        <v>3</v>
      </c>
      <c r="B8" s="399"/>
      <c r="C8" s="399"/>
      <c r="D8" s="399"/>
      <c r="E8" s="405"/>
      <c r="F8" s="405"/>
    </row>
    <row r="9" spans="1:6" ht="14.55" x14ac:dyDescent="0.35">
      <c r="A9" s="452">
        <f t="shared" si="0"/>
        <v>4</v>
      </c>
      <c r="B9" s="399"/>
      <c r="C9" s="399"/>
      <c r="D9" s="399"/>
      <c r="E9" s="405"/>
      <c r="F9" s="405"/>
    </row>
    <row r="10" spans="1:6" ht="14.55" x14ac:dyDescent="0.35">
      <c r="A10" s="452">
        <f t="shared" si="0"/>
        <v>5</v>
      </c>
      <c r="B10" s="399"/>
      <c r="C10" s="399"/>
      <c r="D10" s="399"/>
      <c r="E10" s="405"/>
      <c r="F10" s="405"/>
    </row>
    <row r="11" spans="1:6" ht="14.55" x14ac:dyDescent="0.35">
      <c r="A11" s="452">
        <f t="shared" si="0"/>
        <v>6</v>
      </c>
      <c r="B11" s="399"/>
      <c r="C11" s="399"/>
      <c r="D11" s="399"/>
      <c r="E11" s="405"/>
      <c r="F11" s="405"/>
    </row>
    <row r="12" spans="1:6" ht="14.55" x14ac:dyDescent="0.35">
      <c r="A12" s="452">
        <f t="shared" si="0"/>
        <v>7</v>
      </c>
      <c r="B12" s="399"/>
      <c r="C12" s="399"/>
      <c r="D12" s="399"/>
      <c r="E12" s="405"/>
      <c r="F12" s="405"/>
    </row>
    <row r="13" spans="1:6" ht="14.55" x14ac:dyDescent="0.35">
      <c r="A13" s="452">
        <f t="shared" si="0"/>
        <v>8</v>
      </c>
      <c r="B13" s="399"/>
      <c r="C13" s="399"/>
      <c r="D13" s="399"/>
      <c r="E13" s="405"/>
      <c r="F13" s="405"/>
    </row>
    <row r="14" spans="1:6" ht="14.55" x14ac:dyDescent="0.35">
      <c r="A14" s="452">
        <f t="shared" si="0"/>
        <v>9</v>
      </c>
      <c r="B14" s="399"/>
      <c r="C14" s="399"/>
      <c r="D14" s="399"/>
      <c r="E14" s="405"/>
      <c r="F14" s="405"/>
    </row>
    <row r="15" spans="1:6" ht="14.55" x14ac:dyDescent="0.35">
      <c r="A15" s="452">
        <f t="shared" si="0"/>
        <v>10</v>
      </c>
      <c r="B15" s="399"/>
      <c r="C15" s="399"/>
      <c r="D15" s="399"/>
      <c r="E15" s="405"/>
      <c r="F15" s="405"/>
    </row>
    <row r="16" spans="1:6" ht="14.55" x14ac:dyDescent="0.35">
      <c r="A16" s="452">
        <f t="shared" si="0"/>
        <v>11</v>
      </c>
      <c r="B16" s="399"/>
      <c r="C16" s="399"/>
      <c r="D16" s="399"/>
      <c r="E16" s="405"/>
      <c r="F16" s="405"/>
    </row>
    <row r="17" spans="1:6" ht="14.55" x14ac:dyDescent="0.35">
      <c r="A17" s="452">
        <f t="shared" si="0"/>
        <v>12</v>
      </c>
      <c r="B17" s="399"/>
      <c r="C17" s="399"/>
      <c r="D17" s="399"/>
      <c r="E17" s="405"/>
      <c r="F17" s="405"/>
    </row>
    <row r="18" spans="1:6" ht="14.55" x14ac:dyDescent="0.35">
      <c r="A18" s="452">
        <f t="shared" si="0"/>
        <v>13</v>
      </c>
      <c r="B18" s="399"/>
      <c r="C18" s="399"/>
      <c r="D18" s="399"/>
      <c r="E18" s="405"/>
      <c r="F18" s="405"/>
    </row>
    <row r="19" spans="1:6" ht="14.55" x14ac:dyDescent="0.35">
      <c r="A19" s="452">
        <f t="shared" si="0"/>
        <v>14</v>
      </c>
      <c r="B19" s="399"/>
      <c r="C19" s="399"/>
      <c r="D19" s="399"/>
      <c r="E19" s="405"/>
      <c r="F19" s="405"/>
    </row>
    <row r="20" spans="1:6" ht="14.55" x14ac:dyDescent="0.35">
      <c r="A20" s="452">
        <f t="shared" si="0"/>
        <v>15</v>
      </c>
      <c r="B20" s="399"/>
      <c r="C20" s="399"/>
      <c r="D20" s="399"/>
      <c r="E20" s="405"/>
      <c r="F20" s="405"/>
    </row>
    <row r="21" spans="1:6" ht="14.55" x14ac:dyDescent="0.35">
      <c r="A21" s="452">
        <f t="shared" si="0"/>
        <v>16</v>
      </c>
      <c r="B21" s="399"/>
      <c r="C21" s="399"/>
      <c r="D21" s="399"/>
      <c r="E21" s="405"/>
      <c r="F21" s="405"/>
    </row>
    <row r="22" spans="1:6" ht="14.55" x14ac:dyDescent="0.35">
      <c r="A22" s="452">
        <f t="shared" si="0"/>
        <v>17</v>
      </c>
      <c r="B22" s="399"/>
      <c r="C22" s="399"/>
      <c r="D22" s="399"/>
      <c r="E22" s="405"/>
      <c r="F22" s="405"/>
    </row>
    <row r="23" spans="1:6" ht="14.55" x14ac:dyDescent="0.35">
      <c r="A23" s="452">
        <f t="shared" si="0"/>
        <v>18</v>
      </c>
      <c r="B23" s="399"/>
      <c r="C23" s="399"/>
      <c r="D23" s="399"/>
      <c r="E23" s="405"/>
      <c r="F23" s="405"/>
    </row>
    <row r="24" spans="1:6" ht="14.55" x14ac:dyDescent="0.35">
      <c r="A24" s="452">
        <f t="shared" si="0"/>
        <v>19</v>
      </c>
      <c r="B24" s="399"/>
      <c r="C24" s="399"/>
      <c r="D24" s="399"/>
      <c r="E24" s="405"/>
      <c r="F24" s="405"/>
    </row>
    <row r="25" spans="1:6" ht="14.55" x14ac:dyDescent="0.35">
      <c r="A25" s="452">
        <f t="shared" si="0"/>
        <v>20</v>
      </c>
      <c r="B25" s="399"/>
      <c r="C25" s="399"/>
      <c r="D25" s="399"/>
      <c r="E25" s="405"/>
      <c r="F25" s="405"/>
    </row>
    <row r="26" spans="1:6" ht="14.55" x14ac:dyDescent="0.35">
      <c r="A26" s="452">
        <f t="shared" si="0"/>
        <v>21</v>
      </c>
      <c r="B26" s="399"/>
      <c r="C26" s="399"/>
      <c r="D26" s="399"/>
      <c r="E26" s="405"/>
      <c r="F26" s="405"/>
    </row>
    <row r="27" spans="1:6" ht="14.55" x14ac:dyDescent="0.35">
      <c r="A27" s="452">
        <f t="shared" si="0"/>
        <v>22</v>
      </c>
      <c r="B27" s="399"/>
      <c r="C27" s="399"/>
      <c r="D27" s="399"/>
      <c r="E27" s="405"/>
      <c r="F27" s="405"/>
    </row>
    <row r="28" spans="1:6" ht="14.55" x14ac:dyDescent="0.35">
      <c r="A28" s="452">
        <f t="shared" si="0"/>
        <v>23</v>
      </c>
      <c r="B28" s="399"/>
      <c r="C28" s="399"/>
      <c r="D28" s="399"/>
      <c r="E28" s="405"/>
      <c r="F28" s="405"/>
    </row>
    <row r="29" spans="1:6" x14ac:dyDescent="0.3">
      <c r="A29" s="452">
        <f t="shared" si="0"/>
        <v>24</v>
      </c>
      <c r="B29" s="399"/>
      <c r="C29" s="399"/>
      <c r="D29" s="399"/>
      <c r="E29" s="405"/>
      <c r="F29" s="405"/>
    </row>
    <row r="30" spans="1:6" x14ac:dyDescent="0.3">
      <c r="A30" s="452">
        <f t="shared" si="0"/>
        <v>25</v>
      </c>
      <c r="B30" s="399"/>
      <c r="C30" s="399"/>
      <c r="D30" s="399"/>
      <c r="E30" s="405"/>
      <c r="F30" s="405"/>
    </row>
    <row r="31" spans="1:6" x14ac:dyDescent="0.3">
      <c r="A31" s="452">
        <f t="shared" si="0"/>
        <v>26</v>
      </c>
      <c r="B31" s="399"/>
      <c r="C31" s="399"/>
      <c r="D31" s="399"/>
      <c r="E31" s="405"/>
      <c r="F31" s="405"/>
    </row>
    <row r="32" spans="1:6" x14ac:dyDescent="0.3">
      <c r="A32" s="452">
        <f t="shared" si="0"/>
        <v>27</v>
      </c>
      <c r="B32" s="399"/>
      <c r="C32" s="399"/>
      <c r="D32" s="399"/>
      <c r="E32" s="405"/>
      <c r="F32" s="405"/>
    </row>
    <row r="33" spans="1:6" x14ac:dyDescent="0.3">
      <c r="A33" s="452">
        <f t="shared" si="0"/>
        <v>28</v>
      </c>
      <c r="B33" s="399"/>
      <c r="C33" s="399"/>
      <c r="D33" s="399"/>
      <c r="E33" s="405"/>
      <c r="F33" s="405"/>
    </row>
    <row r="34" spans="1:6" x14ac:dyDescent="0.3">
      <c r="A34" s="452">
        <f t="shared" si="0"/>
        <v>29</v>
      </c>
      <c r="B34" s="399"/>
      <c r="C34" s="399"/>
      <c r="D34" s="399"/>
      <c r="E34" s="405"/>
      <c r="F34" s="405"/>
    </row>
    <row r="35" spans="1:6" x14ac:dyDescent="0.3">
      <c r="A35" s="452">
        <f t="shared" si="0"/>
        <v>30</v>
      </c>
      <c r="B35" s="399"/>
      <c r="C35" s="399"/>
      <c r="D35" s="399"/>
      <c r="E35" s="405"/>
      <c r="F35" s="405"/>
    </row>
    <row r="36" spans="1:6" x14ac:dyDescent="0.3">
      <c r="B36" s="400"/>
      <c r="C36" s="400"/>
      <c r="D36" s="400"/>
      <c r="E36" s="406"/>
      <c r="F36" s="406"/>
    </row>
    <row r="37" spans="1:6" x14ac:dyDescent="0.3">
      <c r="B37" s="400"/>
      <c r="C37" s="400"/>
      <c r="D37" s="400"/>
      <c r="E37" s="406"/>
      <c r="F37" s="406"/>
    </row>
    <row r="38" spans="1:6" x14ac:dyDescent="0.3">
      <c r="B38" s="400"/>
      <c r="C38" s="400"/>
      <c r="D38" s="400"/>
      <c r="E38" s="406"/>
      <c r="F38" s="406"/>
    </row>
    <row r="39" spans="1:6" x14ac:dyDescent="0.3">
      <c r="B39" s="400"/>
      <c r="C39" s="400"/>
      <c r="D39" s="400"/>
      <c r="E39" s="406"/>
      <c r="F39" s="406"/>
    </row>
    <row r="40" spans="1:6" x14ac:dyDescent="0.3">
      <c r="B40" s="400"/>
      <c r="C40" s="400"/>
      <c r="D40" s="400"/>
      <c r="E40" s="406"/>
      <c r="F40" s="406"/>
    </row>
    <row r="41" spans="1:6" x14ac:dyDescent="0.3">
      <c r="B41" s="400"/>
      <c r="C41" s="400"/>
      <c r="D41" s="400"/>
      <c r="E41" s="406"/>
      <c r="F41" s="406"/>
    </row>
    <row r="42" spans="1:6" x14ac:dyDescent="0.3">
      <c r="E42" s="397"/>
      <c r="F42" s="397"/>
    </row>
    <row r="43" spans="1:6" x14ac:dyDescent="0.3">
      <c r="E43" s="397"/>
      <c r="F43" s="397"/>
    </row>
    <row r="44" spans="1:6" x14ac:dyDescent="0.3">
      <c r="E44" s="397"/>
      <c r="F44" s="397"/>
    </row>
    <row r="45" spans="1:6" x14ac:dyDescent="0.3">
      <c r="E45" s="397"/>
      <c r="F45" s="397"/>
    </row>
    <row r="46" spans="1:6" x14ac:dyDescent="0.3">
      <c r="E46" s="397"/>
      <c r="F46" s="397"/>
    </row>
    <row r="47" spans="1:6" x14ac:dyDescent="0.3">
      <c r="E47" s="397"/>
      <c r="F47" s="397"/>
    </row>
    <row r="48" spans="1:6" x14ac:dyDescent="0.3">
      <c r="E48" s="397"/>
      <c r="F48" s="397"/>
    </row>
    <row r="49" spans="5:6" x14ac:dyDescent="0.3">
      <c r="E49" s="397"/>
      <c r="F49" s="397"/>
    </row>
    <row r="50" spans="5:6" x14ac:dyDescent="0.3">
      <c r="E50" s="397"/>
      <c r="F50" s="397"/>
    </row>
    <row r="51" spans="5:6" x14ac:dyDescent="0.3">
      <c r="E51" s="397"/>
      <c r="F51" s="397"/>
    </row>
    <row r="52" spans="5:6" x14ac:dyDescent="0.3">
      <c r="E52" s="397"/>
      <c r="F52" s="397"/>
    </row>
    <row r="53" spans="5:6" x14ac:dyDescent="0.3">
      <c r="E53" s="397"/>
      <c r="F53" s="397"/>
    </row>
    <row r="54" spans="5:6" x14ac:dyDescent="0.3">
      <c r="E54" s="397"/>
      <c r="F54" s="397"/>
    </row>
    <row r="55" spans="5:6" x14ac:dyDescent="0.3">
      <c r="E55" s="397"/>
      <c r="F55" s="397"/>
    </row>
    <row r="56" spans="5:6" x14ac:dyDescent="0.3">
      <c r="E56" s="397"/>
      <c r="F56" s="397"/>
    </row>
    <row r="57" spans="5:6" x14ac:dyDescent="0.3">
      <c r="E57" s="397"/>
      <c r="F57" s="397"/>
    </row>
    <row r="58" spans="5:6" x14ac:dyDescent="0.3">
      <c r="E58" s="397"/>
      <c r="F58" s="397"/>
    </row>
    <row r="59" spans="5:6" x14ac:dyDescent="0.3">
      <c r="E59" s="397"/>
      <c r="F59" s="397"/>
    </row>
  </sheetData>
  <pageMargins left="0.7" right="0.7" top="0.75" bottom="0.75" header="0.3" footer="0.3"/>
  <pageSetup scale="5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GridLines="0" zoomScale="95" zoomScaleNormal="95" workbookViewId="0">
      <selection activeCell="A3" sqref="A3"/>
    </sheetView>
  </sheetViews>
  <sheetFormatPr defaultRowHeight="14.4" x14ac:dyDescent="0.3"/>
  <cols>
    <col min="1" max="1" width="4.6640625" customWidth="1"/>
    <col min="2" max="2" width="14.77734375" customWidth="1"/>
    <col min="3" max="3" width="17.21875" customWidth="1"/>
    <col min="4" max="4" width="62.21875" customWidth="1"/>
    <col min="5" max="5" width="54.5546875" customWidth="1"/>
  </cols>
  <sheetData>
    <row r="1" spans="1:5" ht="14.55" x14ac:dyDescent="0.35">
      <c r="A1" s="34" t="s">
        <v>414</v>
      </c>
    </row>
    <row r="2" spans="1:5" ht="14.55" x14ac:dyDescent="0.35">
      <c r="A2" s="191" t="s">
        <v>415</v>
      </c>
    </row>
    <row r="4" spans="1:5" ht="14.55" x14ac:dyDescent="0.35">
      <c r="A4" s="402" t="s">
        <v>340</v>
      </c>
      <c r="B4" s="401" t="s">
        <v>264</v>
      </c>
      <c r="C4" s="402" t="s">
        <v>268</v>
      </c>
      <c r="D4" s="402" t="s">
        <v>328</v>
      </c>
      <c r="E4" s="402"/>
    </row>
    <row r="5" spans="1:5" ht="14.55" x14ac:dyDescent="0.35">
      <c r="A5" s="452">
        <v>1</v>
      </c>
      <c r="B5" s="408" t="s">
        <v>265</v>
      </c>
      <c r="C5" s="408" t="s">
        <v>267</v>
      </c>
      <c r="D5" s="592" t="s">
        <v>395</v>
      </c>
      <c r="E5" s="592"/>
    </row>
    <row r="6" spans="1:5" ht="14.55" x14ac:dyDescent="0.35">
      <c r="A6" s="452">
        <f t="shared" ref="A6:A14" si="0">A5+1</f>
        <v>2</v>
      </c>
      <c r="B6" s="409" t="s">
        <v>265</v>
      </c>
      <c r="C6" s="409" t="s">
        <v>267</v>
      </c>
      <c r="D6" s="593" t="s">
        <v>397</v>
      </c>
      <c r="E6" s="593"/>
    </row>
    <row r="7" spans="1:5" ht="39" customHeight="1" x14ac:dyDescent="0.35">
      <c r="A7" s="452">
        <f t="shared" si="0"/>
        <v>3</v>
      </c>
      <c r="B7" s="409" t="s">
        <v>266</v>
      </c>
      <c r="C7" s="409" t="s">
        <v>342</v>
      </c>
      <c r="D7" s="593" t="s">
        <v>557</v>
      </c>
      <c r="E7" s="593"/>
    </row>
    <row r="8" spans="1:5" ht="14.55" x14ac:dyDescent="0.35">
      <c r="A8" s="452">
        <f t="shared" si="0"/>
        <v>4</v>
      </c>
      <c r="B8" s="409" t="s">
        <v>266</v>
      </c>
      <c r="C8" s="409" t="s">
        <v>342</v>
      </c>
      <c r="D8" s="593" t="s">
        <v>458</v>
      </c>
      <c r="E8" s="593"/>
    </row>
    <row r="9" spans="1:5" ht="14.55" x14ac:dyDescent="0.35">
      <c r="A9" s="452">
        <f t="shared" si="0"/>
        <v>5</v>
      </c>
      <c r="B9" s="409" t="s">
        <v>266</v>
      </c>
      <c r="C9" s="409" t="s">
        <v>321</v>
      </c>
      <c r="D9" s="591" t="s">
        <v>373</v>
      </c>
      <c r="E9" s="591"/>
    </row>
    <row r="10" spans="1:5" ht="24.45" customHeight="1" x14ac:dyDescent="0.35">
      <c r="A10" s="452">
        <f t="shared" si="0"/>
        <v>6</v>
      </c>
      <c r="B10" s="399" t="s">
        <v>418</v>
      </c>
      <c r="C10" s="399" t="s">
        <v>419</v>
      </c>
      <c r="D10" s="591" t="s">
        <v>500</v>
      </c>
      <c r="E10" s="591"/>
    </row>
    <row r="11" spans="1:5" ht="24.45" customHeight="1" x14ac:dyDescent="0.35">
      <c r="A11" s="452">
        <f t="shared" si="0"/>
        <v>7</v>
      </c>
      <c r="B11" s="399" t="s">
        <v>417</v>
      </c>
      <c r="C11" s="399" t="s">
        <v>416</v>
      </c>
      <c r="D11" s="591" t="s">
        <v>459</v>
      </c>
      <c r="E11" s="591"/>
    </row>
    <row r="12" spans="1:5" ht="14.55" x14ac:dyDescent="0.35">
      <c r="A12" s="452">
        <f t="shared" si="0"/>
        <v>8</v>
      </c>
      <c r="B12" s="399"/>
      <c r="C12" s="399"/>
      <c r="D12" s="405"/>
      <c r="E12" s="399"/>
    </row>
    <row r="13" spans="1:5" ht="14.55" x14ac:dyDescent="0.35">
      <c r="A13" s="452">
        <f t="shared" si="0"/>
        <v>9</v>
      </c>
      <c r="B13" s="399"/>
      <c r="C13" s="399"/>
      <c r="D13" s="405"/>
      <c r="E13" s="399"/>
    </row>
    <row r="14" spans="1:5" ht="14.55" x14ac:dyDescent="0.35">
      <c r="A14" s="452">
        <f t="shared" si="0"/>
        <v>10</v>
      </c>
      <c r="B14" s="399"/>
      <c r="C14" s="399"/>
      <c r="D14" s="405"/>
      <c r="E14" s="399"/>
    </row>
    <row r="15" spans="1:5" ht="14.55" x14ac:dyDescent="0.35">
      <c r="D15" s="397"/>
    </row>
    <row r="16" spans="1:5" ht="14.55" x14ac:dyDescent="0.35">
      <c r="A16" s="402" t="s">
        <v>340</v>
      </c>
      <c r="B16" s="310" t="s">
        <v>327</v>
      </c>
      <c r="C16" s="310"/>
      <c r="D16" s="310"/>
      <c r="E16" s="310"/>
    </row>
    <row r="17" spans="1:5" ht="14.55" x14ac:dyDescent="0.35">
      <c r="A17" s="452">
        <v>1</v>
      </c>
      <c r="B17" s="396"/>
      <c r="C17" s="396"/>
      <c r="D17" s="396"/>
      <c r="E17" s="396"/>
    </row>
    <row r="18" spans="1:5" ht="14.55" x14ac:dyDescent="0.35">
      <c r="A18" s="452">
        <f t="shared" ref="A18:A26" si="1">A17+1</f>
        <v>2</v>
      </c>
      <c r="B18" s="407"/>
      <c r="C18" s="407"/>
      <c r="D18" s="407"/>
      <c r="E18" s="407"/>
    </row>
    <row r="19" spans="1:5" ht="14.55" x14ac:dyDescent="0.35">
      <c r="A19" s="452">
        <f t="shared" si="1"/>
        <v>3</v>
      </c>
      <c r="B19" s="407"/>
      <c r="C19" s="407"/>
      <c r="D19" s="407"/>
      <c r="E19" s="407"/>
    </row>
    <row r="20" spans="1:5" ht="14.55" x14ac:dyDescent="0.35">
      <c r="A20" s="452">
        <f t="shared" si="1"/>
        <v>4</v>
      </c>
      <c r="B20" s="407"/>
      <c r="C20" s="407"/>
      <c r="D20" s="407"/>
      <c r="E20" s="407"/>
    </row>
    <row r="21" spans="1:5" ht="14.55" x14ac:dyDescent="0.35">
      <c r="A21" s="452">
        <f t="shared" si="1"/>
        <v>5</v>
      </c>
      <c r="B21" s="407"/>
      <c r="C21" s="407"/>
      <c r="D21" s="407"/>
      <c r="E21" s="407"/>
    </row>
    <row r="22" spans="1:5" x14ac:dyDescent="0.3">
      <c r="A22" s="452">
        <f t="shared" si="1"/>
        <v>6</v>
      </c>
      <c r="B22" s="407"/>
      <c r="C22" s="407"/>
      <c r="D22" s="407"/>
      <c r="E22" s="407"/>
    </row>
    <row r="23" spans="1:5" x14ac:dyDescent="0.3">
      <c r="A23" s="452">
        <f t="shared" si="1"/>
        <v>7</v>
      </c>
      <c r="B23" s="407"/>
      <c r="C23" s="407"/>
      <c r="D23" s="407"/>
      <c r="E23" s="407"/>
    </row>
    <row r="24" spans="1:5" x14ac:dyDescent="0.3">
      <c r="A24" s="452">
        <f t="shared" si="1"/>
        <v>8</v>
      </c>
      <c r="B24" s="407"/>
      <c r="C24" s="407"/>
      <c r="D24" s="407"/>
      <c r="E24" s="407"/>
    </row>
    <row r="25" spans="1:5" x14ac:dyDescent="0.3">
      <c r="A25" s="452">
        <f t="shared" si="1"/>
        <v>9</v>
      </c>
      <c r="B25" s="407"/>
      <c r="C25" s="407"/>
      <c r="D25" s="407"/>
      <c r="E25" s="407"/>
    </row>
    <row r="26" spans="1:5" x14ac:dyDescent="0.3">
      <c r="A26" s="452">
        <f t="shared" si="1"/>
        <v>10</v>
      </c>
      <c r="B26" s="407"/>
      <c r="C26" s="407"/>
      <c r="D26" s="407"/>
      <c r="E26" s="407"/>
    </row>
  </sheetData>
  <mergeCells count="7">
    <mergeCell ref="D11:E11"/>
    <mergeCell ref="D5:E5"/>
    <mergeCell ref="D6:E6"/>
    <mergeCell ref="D7:E7"/>
    <mergeCell ref="D8:E8"/>
    <mergeCell ref="D9:E9"/>
    <mergeCell ref="D10:E10"/>
  </mergeCells>
  <pageMargins left="0.7" right="0.7" top="0.75" bottom="0.75" header="0.3" footer="0.3"/>
  <pageSetup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E25"/>
  <sheetViews>
    <sheetView showGridLines="0" zoomScale="95" zoomScaleNormal="95" workbookViewId="0">
      <selection activeCell="C8" sqref="C8"/>
    </sheetView>
  </sheetViews>
  <sheetFormatPr defaultRowHeight="14.4" x14ac:dyDescent="0.3"/>
  <cols>
    <col min="2" max="2" width="35.33203125" bestFit="1" customWidth="1"/>
    <col min="3" max="3" width="28.5546875" customWidth="1"/>
  </cols>
  <sheetData>
    <row r="1" spans="2:4" ht="13.5" customHeight="1" x14ac:dyDescent="0.35"/>
    <row r="2" spans="2:4" ht="13.5" customHeight="1" x14ac:dyDescent="0.35"/>
    <row r="3" spans="2:4" ht="13.5" customHeight="1" x14ac:dyDescent="0.35"/>
    <row r="4" spans="2:4" ht="13.5" customHeight="1" x14ac:dyDescent="0.35"/>
    <row r="5" spans="2:4" x14ac:dyDescent="0.3">
      <c r="B5" s="34" t="s">
        <v>143</v>
      </c>
    </row>
    <row r="7" spans="2:4" ht="14.55" x14ac:dyDescent="0.35">
      <c r="B7" t="s">
        <v>164</v>
      </c>
      <c r="C7" s="248" t="s">
        <v>556</v>
      </c>
      <c r="D7" s="35"/>
    </row>
    <row r="8" spans="2:4" ht="14.55" x14ac:dyDescent="0.35">
      <c r="B8" t="s">
        <v>165</v>
      </c>
      <c r="C8" s="249">
        <v>43613</v>
      </c>
    </row>
    <row r="10" spans="2:4" ht="14.55" x14ac:dyDescent="0.35">
      <c r="B10" t="s">
        <v>257</v>
      </c>
      <c r="C10" s="249" t="s">
        <v>258</v>
      </c>
    </row>
    <row r="11" spans="2:4" ht="14.55" x14ac:dyDescent="0.35">
      <c r="B11" t="s">
        <v>256</v>
      </c>
      <c r="C11" s="249" t="s">
        <v>259</v>
      </c>
    </row>
    <row r="14" spans="2:4" ht="14.55" x14ac:dyDescent="0.35">
      <c r="B14" s="246" t="s">
        <v>345</v>
      </c>
      <c r="C14" s="191"/>
    </row>
    <row r="15" spans="2:4" ht="14.55" x14ac:dyDescent="0.35">
      <c r="B15" s="246" t="s">
        <v>255</v>
      </c>
      <c r="C15" s="191"/>
      <c r="D15" s="502">
        <f ca="1">Results_Summary!$I$28</f>
        <v>0</v>
      </c>
    </row>
    <row r="16" spans="2:4" ht="12" customHeight="1" x14ac:dyDescent="0.35">
      <c r="B16" s="244" t="s">
        <v>199</v>
      </c>
      <c r="C16" s="245" t="str">
        <f t="array" ref="C16">IF(AND(Historical_Rev!$D$75:$N$75=0),"ties-out","CHECK")</f>
        <v>ties-out</v>
      </c>
    </row>
    <row r="17" spans="2:5" ht="12" customHeight="1" x14ac:dyDescent="0.35">
      <c r="B17" s="244" t="s">
        <v>200</v>
      </c>
      <c r="C17" s="245" t="str">
        <f t="array" ref="C17">IF(AND(Historical_FTE!$C$35=0,Historical_FTE!$D$86:$M$86=0,Historical_FTE!$D$124:$N$124=0,Historical_FTE!$D$132:$N$132=0,Historical_FTE!$D$105:$N$105=0),"ties-out","CHECK")</f>
        <v>ties-out</v>
      </c>
    </row>
    <row r="18" spans="2:5" ht="12" customHeight="1" x14ac:dyDescent="0.35">
      <c r="B18" s="244" t="s">
        <v>201</v>
      </c>
      <c r="C18" s="245" t="str">
        <f t="array" aca="1" ref="C18" ca="1">IF(AND(Historical_COCOMO!F69=0),"ties-out","CHECK")</f>
        <v>ties-out</v>
      </c>
    </row>
    <row r="19" spans="2:5" ht="12" customHeight="1" x14ac:dyDescent="0.35">
      <c r="B19" s="244" t="s">
        <v>202</v>
      </c>
      <c r="C19" s="245" t="str">
        <f t="array" aca="1" ref="C19" ca="1">IF(AND(Ongoing_Dev!$I$42:$M$42=0,Ongoing_Dev!$I$62:$J$62=0),"ties-out","CHECK")</f>
        <v>ties-out</v>
      </c>
      <c r="D19" s="502"/>
      <c r="E19" s="502"/>
    </row>
    <row r="20" spans="2:5" ht="12" customHeight="1" x14ac:dyDescent="0.35">
      <c r="B20" s="244" t="s">
        <v>203</v>
      </c>
      <c r="C20" s="245" t="str">
        <f t="array" aca="1" ref="C20" ca="1">IF(AND(Results_Summary!$C$28:$J$28=0),"ties-out","CHECK")</f>
        <v>ties-out</v>
      </c>
    </row>
    <row r="21" spans="2:5" ht="12" customHeight="1" x14ac:dyDescent="0.35">
      <c r="B21" s="244" t="s">
        <v>203</v>
      </c>
      <c r="C21" s="245" t="str">
        <f t="array" aca="1" ref="C21" ca="1">IF(AND(Summary_Ongoing!$Q$7:$S$7=0),"ties-out","CHECK")</f>
        <v>ties-out</v>
      </c>
    </row>
    <row r="22" spans="2:5" ht="6" customHeight="1" x14ac:dyDescent="0.35">
      <c r="B22" s="243"/>
    </row>
    <row r="23" spans="2:5" ht="14.55" x14ac:dyDescent="0.35">
      <c r="B23" s="247" t="s">
        <v>427</v>
      </c>
    </row>
    <row r="24" spans="2:5" ht="14.55" x14ac:dyDescent="0.35">
      <c r="B24" s="247" t="s">
        <v>204</v>
      </c>
    </row>
    <row r="25" spans="2:5" ht="14.55" x14ac:dyDescent="0.35">
      <c r="B25" s="34"/>
    </row>
  </sheetData>
  <conditionalFormatting sqref="C16:C21">
    <cfRule type="cellIs" dxfId="0" priority="1" operator="notEqual">
      <formula>"ties-out"</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75"/>
  <sheetViews>
    <sheetView showGridLines="0" zoomScale="80" zoomScaleNormal="80" workbookViewId="0">
      <pane ySplit="2" topLeftCell="A3" activePane="bottomLeft" state="frozen"/>
      <selection activeCell="B7" sqref="B7"/>
      <selection pane="bottomLeft"/>
    </sheetView>
  </sheetViews>
  <sheetFormatPr defaultRowHeight="14.4" x14ac:dyDescent="0.3"/>
  <cols>
    <col min="1" max="1" width="4" customWidth="1"/>
    <col min="2" max="2" width="15.5546875" customWidth="1"/>
    <col min="3" max="3" width="17.44140625" customWidth="1"/>
    <col min="4" max="4" width="13.109375" customWidth="1"/>
    <col min="5" max="10" width="12.5546875" bestFit="1" customWidth="1"/>
    <col min="11" max="12" width="12.5546875" customWidth="1"/>
    <col min="13" max="13" width="12.5546875" bestFit="1" customWidth="1"/>
    <col min="14" max="14" width="18.109375" customWidth="1"/>
  </cols>
  <sheetData>
    <row r="2" spans="2:14" ht="15.45" x14ac:dyDescent="0.35">
      <c r="B2" s="16" t="str">
        <f>"Historical estimation of development cost for "&amp;'Inputs--&gt;'!$C$7&amp;" through revenue received"</f>
        <v>Historical estimation of development cost for [ sample GG ] through revenue received</v>
      </c>
      <c r="C2" s="26"/>
      <c r="D2" s="26"/>
      <c r="E2" s="11"/>
      <c r="F2" s="11"/>
      <c r="H2" s="11"/>
      <c r="I2" s="11"/>
      <c r="J2" s="11"/>
      <c r="K2" s="11"/>
      <c r="L2" s="11"/>
      <c r="M2" s="11"/>
    </row>
    <row r="3" spans="2:14" ht="15.45" x14ac:dyDescent="0.35">
      <c r="B3" s="138" t="str">
        <f>"As of "&amp;TEXT('Inputs--&gt;'!$C$8,"MMMMMM yyyy")</f>
        <v>As of May 2019</v>
      </c>
      <c r="C3" s="26"/>
      <c r="D3" s="26"/>
      <c r="E3" s="11"/>
      <c r="F3" s="11"/>
      <c r="G3" s="11"/>
      <c r="H3" s="11"/>
      <c r="I3" s="11"/>
      <c r="J3" s="11"/>
      <c r="K3" s="11"/>
      <c r="L3" s="11"/>
      <c r="M3" s="11"/>
      <c r="N3" s="11"/>
    </row>
    <row r="4" spans="2:14" ht="15.45" x14ac:dyDescent="0.35">
      <c r="B4" s="16"/>
      <c r="C4" s="26"/>
      <c r="D4" s="26"/>
      <c r="E4" s="11"/>
      <c r="F4" s="11"/>
      <c r="G4" s="11"/>
      <c r="H4" s="11"/>
      <c r="I4" s="11"/>
      <c r="J4" s="11"/>
      <c r="K4" s="11"/>
      <c r="L4" s="11"/>
      <c r="M4" s="11"/>
      <c r="N4" s="11"/>
    </row>
    <row r="5" spans="2:14" ht="15.45" x14ac:dyDescent="0.35">
      <c r="B5" s="16" t="s">
        <v>49</v>
      </c>
      <c r="C5" s="26"/>
      <c r="D5" s="26"/>
      <c r="E5" s="11"/>
      <c r="F5" s="11"/>
      <c r="G5" s="11"/>
      <c r="H5" s="11"/>
      <c r="I5" s="11"/>
      <c r="J5" s="11"/>
      <c r="K5" s="11"/>
      <c r="L5" s="11"/>
      <c r="M5" s="11"/>
      <c r="N5" s="11"/>
    </row>
    <row r="6" spans="2:14" ht="15.45" x14ac:dyDescent="0.35">
      <c r="B6" s="26" t="s">
        <v>453</v>
      </c>
      <c r="C6" s="26"/>
      <c r="D6" s="26"/>
      <c r="E6" s="11"/>
      <c r="F6" s="11"/>
      <c r="G6" s="11"/>
      <c r="H6" s="11"/>
      <c r="I6" s="11"/>
      <c r="J6" s="11"/>
      <c r="K6" s="11"/>
      <c r="L6" s="11"/>
      <c r="M6" s="11"/>
      <c r="N6" s="11"/>
    </row>
    <row r="7" spans="2:14" ht="15.45" x14ac:dyDescent="0.35">
      <c r="B7" s="26" t="s">
        <v>248</v>
      </c>
      <c r="C7" s="26"/>
      <c r="D7" s="26"/>
      <c r="E7" s="11"/>
      <c r="F7" s="11"/>
      <c r="G7" s="11"/>
      <c r="H7" s="11"/>
      <c r="I7" s="11"/>
      <c r="J7" s="11"/>
      <c r="K7" s="11"/>
      <c r="L7" s="11"/>
      <c r="M7" s="11"/>
      <c r="N7" s="11"/>
    </row>
    <row r="8" spans="2:14" ht="15.45" x14ac:dyDescent="0.35">
      <c r="B8" s="26" t="s">
        <v>278</v>
      </c>
      <c r="C8" s="26"/>
      <c r="D8" s="26"/>
      <c r="E8" s="11"/>
      <c r="F8" s="11"/>
      <c r="G8" s="11"/>
      <c r="H8" s="11"/>
      <c r="I8" s="11"/>
      <c r="J8" s="11"/>
      <c r="K8" s="11"/>
      <c r="L8" s="11"/>
      <c r="M8" s="11"/>
      <c r="N8" s="11"/>
    </row>
    <row r="9" spans="2:14" ht="15.45" x14ac:dyDescent="0.35">
      <c r="B9" s="327" t="s">
        <v>460</v>
      </c>
      <c r="C9" s="26"/>
      <c r="D9" s="26"/>
      <c r="E9" s="11"/>
      <c r="F9" s="11"/>
      <c r="G9" s="11"/>
      <c r="H9" s="11"/>
      <c r="I9" s="11"/>
      <c r="J9" s="11"/>
      <c r="K9" s="11"/>
      <c r="L9" s="11"/>
      <c r="M9" s="11"/>
      <c r="N9" s="11"/>
    </row>
    <row r="10" spans="2:14" ht="15.45" x14ac:dyDescent="0.35">
      <c r="B10" s="327" t="s">
        <v>398</v>
      </c>
      <c r="C10" s="26"/>
      <c r="D10" s="26"/>
      <c r="E10" s="11"/>
      <c r="F10" s="11"/>
      <c r="G10" s="11"/>
      <c r="H10" s="11"/>
      <c r="I10" s="11"/>
      <c r="J10" s="11"/>
      <c r="K10" s="11"/>
      <c r="L10" s="11"/>
      <c r="M10" s="11"/>
      <c r="N10" s="11"/>
    </row>
    <row r="11" spans="2:14" ht="15.45" x14ac:dyDescent="0.35">
      <c r="B11" s="26"/>
      <c r="C11" s="26"/>
      <c r="D11" s="26"/>
      <c r="E11" s="11"/>
      <c r="F11" s="11"/>
      <c r="G11" s="11"/>
      <c r="H11" s="11"/>
      <c r="I11" s="11"/>
      <c r="J11" s="11"/>
      <c r="K11" s="11"/>
      <c r="L11" s="11"/>
      <c r="M11" s="11"/>
      <c r="N11" s="11"/>
    </row>
    <row r="12" spans="2:14" ht="15.45" x14ac:dyDescent="0.35">
      <c r="B12" s="16" t="s">
        <v>123</v>
      </c>
      <c r="C12" s="26"/>
      <c r="D12" s="26"/>
      <c r="E12" s="11"/>
      <c r="F12" s="11"/>
      <c r="G12" s="11"/>
      <c r="H12" s="11"/>
      <c r="I12" s="11"/>
      <c r="J12" s="11"/>
      <c r="K12" s="11"/>
      <c r="L12" s="11"/>
      <c r="M12" s="11"/>
      <c r="N12" s="11"/>
    </row>
    <row r="13" spans="2:14" ht="15.45" x14ac:dyDescent="0.35">
      <c r="B13" s="26" t="s">
        <v>461</v>
      </c>
      <c r="C13" s="26"/>
      <c r="D13" s="26"/>
      <c r="E13" s="11"/>
      <c r="F13" s="11"/>
      <c r="G13" s="11"/>
      <c r="H13" s="11"/>
      <c r="I13" s="11"/>
      <c r="J13" s="11"/>
      <c r="K13" s="11"/>
      <c r="L13" s="11"/>
      <c r="M13" s="11"/>
      <c r="N13" s="11"/>
    </row>
    <row r="14" spans="2:14" ht="6" customHeight="1" x14ac:dyDescent="0.35">
      <c r="B14" s="26"/>
      <c r="C14" s="26"/>
      <c r="D14" s="26"/>
      <c r="E14" s="11"/>
      <c r="F14" s="11"/>
      <c r="G14" s="11"/>
      <c r="H14" s="11"/>
      <c r="I14" s="11"/>
      <c r="J14" s="11"/>
      <c r="K14" s="11"/>
      <c r="L14" s="11"/>
      <c r="M14" s="11"/>
      <c r="N14" s="11"/>
    </row>
    <row r="15" spans="2:14" ht="15.6" x14ac:dyDescent="0.3">
      <c r="B15" s="327" t="s">
        <v>469</v>
      </c>
      <c r="C15" s="26"/>
      <c r="D15" s="26"/>
      <c r="E15" s="11"/>
      <c r="F15" s="11"/>
      <c r="G15" s="11"/>
      <c r="H15" s="11"/>
      <c r="I15" s="11"/>
      <c r="J15" s="11"/>
      <c r="K15" s="11"/>
      <c r="L15" s="11"/>
      <c r="M15" s="11"/>
      <c r="N15" s="11"/>
    </row>
    <row r="16" spans="2:14" ht="15.45" x14ac:dyDescent="0.35">
      <c r="B16" s="510" t="s">
        <v>464</v>
      </c>
      <c r="C16" s="26"/>
      <c r="D16" s="26"/>
      <c r="E16" s="11"/>
      <c r="F16" s="11"/>
      <c r="G16" s="11"/>
      <c r="H16" s="11"/>
      <c r="I16" s="11"/>
      <c r="J16" s="11"/>
      <c r="K16" s="11"/>
      <c r="L16" s="11"/>
      <c r="M16" s="11"/>
      <c r="N16" s="11"/>
    </row>
    <row r="17" spans="2:14" ht="15.6" x14ac:dyDescent="0.3">
      <c r="B17" s="327" t="s">
        <v>525</v>
      </c>
      <c r="C17" s="26"/>
      <c r="D17" s="26"/>
      <c r="E17" s="11"/>
      <c r="F17" s="11"/>
      <c r="G17" s="11"/>
      <c r="H17" s="11"/>
      <c r="I17" s="11"/>
      <c r="J17" s="11"/>
      <c r="K17" s="11"/>
      <c r="L17" s="11"/>
      <c r="M17" s="11"/>
      <c r="N17" s="11"/>
    </row>
    <row r="18" spans="2:14" ht="15.6" x14ac:dyDescent="0.3">
      <c r="B18" s="327" t="s">
        <v>462</v>
      </c>
      <c r="C18" s="26"/>
      <c r="D18" s="26"/>
      <c r="E18" s="11"/>
      <c r="F18" s="11"/>
      <c r="G18" s="11"/>
      <c r="H18" s="11"/>
      <c r="I18" s="11"/>
      <c r="J18" s="11"/>
      <c r="K18" s="11"/>
      <c r="L18" s="11"/>
      <c r="M18" s="11"/>
      <c r="N18" s="11"/>
    </row>
    <row r="19" spans="2:14" ht="15.45" x14ac:dyDescent="0.35">
      <c r="B19" s="510" t="s">
        <v>497</v>
      </c>
      <c r="C19" s="26"/>
      <c r="D19" s="26"/>
      <c r="E19" s="11"/>
      <c r="F19" s="11"/>
      <c r="G19" s="11"/>
      <c r="H19" s="11"/>
      <c r="I19" s="11"/>
      <c r="J19" s="11"/>
      <c r="K19" s="11"/>
      <c r="L19" s="11"/>
      <c r="M19" s="11"/>
      <c r="N19" s="11"/>
    </row>
    <row r="20" spans="2:14" ht="15.45" x14ac:dyDescent="0.35">
      <c r="B20" s="510" t="s">
        <v>463</v>
      </c>
      <c r="C20" s="26"/>
      <c r="D20" s="26"/>
      <c r="E20" s="11"/>
      <c r="F20" s="11"/>
      <c r="G20" s="11"/>
      <c r="H20" s="11"/>
      <c r="I20" s="11"/>
      <c r="J20" s="11"/>
      <c r="K20" s="11"/>
      <c r="L20" s="11"/>
      <c r="M20" s="11"/>
      <c r="N20" s="11"/>
    </row>
    <row r="21" spans="2:14" ht="15.45" x14ac:dyDescent="0.35">
      <c r="B21" s="510" t="s">
        <v>470</v>
      </c>
      <c r="C21" s="26"/>
      <c r="D21" s="26"/>
      <c r="E21" s="11"/>
      <c r="F21" s="11"/>
      <c r="G21" s="11"/>
      <c r="H21" s="11"/>
      <c r="I21" s="11"/>
      <c r="J21" s="11"/>
      <c r="K21" s="11"/>
      <c r="L21" s="11"/>
      <c r="M21" s="11"/>
      <c r="N21" s="11"/>
    </row>
    <row r="22" spans="2:14" ht="15.45" x14ac:dyDescent="0.35">
      <c r="C22" s="26"/>
      <c r="D22" s="26"/>
      <c r="E22" s="11"/>
      <c r="F22" s="11"/>
      <c r="G22" s="11"/>
      <c r="H22" s="11"/>
      <c r="I22" s="11"/>
      <c r="J22" s="11"/>
      <c r="K22" s="11"/>
      <c r="L22" s="11"/>
      <c r="M22" s="11"/>
      <c r="N22" s="11"/>
    </row>
    <row r="23" spans="2:14" ht="7.95" customHeight="1" x14ac:dyDescent="0.35">
      <c r="C23" s="26"/>
      <c r="D23" s="26"/>
      <c r="E23" s="11"/>
      <c r="F23" s="11"/>
      <c r="G23" s="11"/>
      <c r="H23" s="11"/>
      <c r="I23" s="11"/>
      <c r="J23" s="11"/>
      <c r="K23" s="11"/>
      <c r="L23" s="11"/>
      <c r="M23" s="11"/>
      <c r="N23" s="11"/>
    </row>
    <row r="24" spans="2:14" ht="15.45" x14ac:dyDescent="0.35">
      <c r="B24" s="284" t="s">
        <v>399</v>
      </c>
      <c r="C24" s="284"/>
      <c r="D24" s="284"/>
      <c r="E24" s="346" t="s">
        <v>281</v>
      </c>
      <c r="F24" s="11"/>
      <c r="G24" s="11"/>
      <c r="H24" s="11"/>
      <c r="I24" s="11"/>
      <c r="J24" s="11"/>
      <c r="K24" s="11"/>
      <c r="L24" s="11"/>
      <c r="M24" s="11"/>
      <c r="N24" s="11"/>
    </row>
    <row r="25" spans="2:14" ht="15.45" x14ac:dyDescent="0.35">
      <c r="B25" s="340" t="s">
        <v>400</v>
      </c>
      <c r="C25" s="339"/>
      <c r="D25" s="339"/>
      <c r="E25" s="548">
        <f>$N$74</f>
        <v>0</v>
      </c>
      <c r="F25" s="11"/>
      <c r="G25" s="11"/>
      <c r="H25" s="11"/>
      <c r="I25" s="11"/>
      <c r="J25" s="11"/>
      <c r="K25" s="11"/>
      <c r="L25" s="11"/>
      <c r="M25" s="11"/>
      <c r="N25" s="11"/>
    </row>
    <row r="26" spans="2:14" ht="15.45" x14ac:dyDescent="0.35">
      <c r="B26" s="26"/>
      <c r="C26" s="26"/>
      <c r="D26" s="26"/>
      <c r="E26" s="11"/>
      <c r="F26" s="11"/>
      <c r="G26" s="11"/>
      <c r="H26" s="11"/>
      <c r="I26" s="11"/>
      <c r="J26" s="11"/>
      <c r="K26" s="11"/>
      <c r="L26" s="11"/>
      <c r="M26" s="11"/>
      <c r="N26" s="11"/>
    </row>
    <row r="27" spans="2:14" ht="15.45" x14ac:dyDescent="0.35">
      <c r="B27" s="16" t="s">
        <v>401</v>
      </c>
      <c r="C27" s="11"/>
      <c r="D27" s="11"/>
      <c r="E27" s="11"/>
      <c r="F27" s="11"/>
      <c r="G27" s="11"/>
      <c r="H27" s="11"/>
      <c r="I27" s="11"/>
      <c r="J27" s="11"/>
      <c r="K27" s="11"/>
      <c r="L27" s="11"/>
      <c r="M27" s="11"/>
      <c r="N27" s="11"/>
    </row>
    <row r="28" spans="2:14" ht="6" customHeight="1" x14ac:dyDescent="0.35">
      <c r="B28" s="16"/>
      <c r="C28" s="47"/>
      <c r="D28" s="11"/>
      <c r="E28" s="11"/>
      <c r="F28" s="11"/>
      <c r="G28" s="11"/>
      <c r="H28" s="11"/>
      <c r="I28" s="11"/>
      <c r="J28" s="11"/>
      <c r="K28" s="11"/>
      <c r="L28" s="11"/>
      <c r="M28" s="11"/>
      <c r="N28" s="11"/>
    </row>
    <row r="29" spans="2:14" ht="14.55" x14ac:dyDescent="0.35">
      <c r="B29" s="97" t="s">
        <v>210</v>
      </c>
      <c r="C29" s="136"/>
      <c r="D29" s="323" t="s">
        <v>66</v>
      </c>
      <c r="E29" s="323" t="s">
        <v>57</v>
      </c>
      <c r="F29" s="323" t="s">
        <v>58</v>
      </c>
      <c r="G29" s="323" t="s">
        <v>59</v>
      </c>
      <c r="H29" s="323" t="s">
        <v>60</v>
      </c>
      <c r="I29" s="323" t="s">
        <v>67</v>
      </c>
      <c r="J29" s="323" t="s">
        <v>62</v>
      </c>
      <c r="K29" s="323" t="s">
        <v>63</v>
      </c>
      <c r="L29" s="323" t="s">
        <v>272</v>
      </c>
      <c r="M29" s="323" t="s">
        <v>273</v>
      </c>
      <c r="N29" s="100" t="s">
        <v>163</v>
      </c>
    </row>
    <row r="30" spans="2:14" ht="14.55" x14ac:dyDescent="0.35">
      <c r="B30" s="199" t="s">
        <v>280</v>
      </c>
      <c r="C30" s="137"/>
      <c r="D30" s="200"/>
      <c r="E30" s="151"/>
      <c r="F30" s="151"/>
      <c r="G30" s="151"/>
      <c r="H30" s="151"/>
      <c r="I30" s="151"/>
      <c r="J30" s="151"/>
      <c r="K30" s="151"/>
      <c r="L30" s="151"/>
      <c r="M30" s="151"/>
      <c r="N30" s="201"/>
    </row>
    <row r="31" spans="2:14" ht="14.55" x14ac:dyDescent="0.35">
      <c r="B31" s="321" t="s">
        <v>156</v>
      </c>
      <c r="C31" s="343" t="s">
        <v>274</v>
      </c>
      <c r="D31" s="254">
        <v>0</v>
      </c>
      <c r="E31" s="254">
        <v>0</v>
      </c>
      <c r="F31" s="254">
        <v>0</v>
      </c>
      <c r="G31" s="254">
        <v>0</v>
      </c>
      <c r="H31" s="254">
        <v>0</v>
      </c>
      <c r="I31" s="254">
        <v>0</v>
      </c>
      <c r="J31" s="254">
        <v>0</v>
      </c>
      <c r="K31" s="254">
        <v>0</v>
      </c>
      <c r="L31" s="254">
        <v>0</v>
      </c>
      <c r="M31" s="255">
        <v>0</v>
      </c>
      <c r="N31" s="256">
        <f>SUM(D31:M31)</f>
        <v>0</v>
      </c>
    </row>
    <row r="32" spans="2:14" ht="14.55" x14ac:dyDescent="0.35">
      <c r="B32" s="317"/>
      <c r="C32" s="342" t="s">
        <v>275</v>
      </c>
      <c r="D32" s="312">
        <v>1</v>
      </c>
      <c r="E32" s="312">
        <v>1</v>
      </c>
      <c r="F32" s="312">
        <v>1</v>
      </c>
      <c r="G32" s="312">
        <v>1</v>
      </c>
      <c r="H32" s="312">
        <v>1</v>
      </c>
      <c r="I32" s="312">
        <v>1</v>
      </c>
      <c r="J32" s="312">
        <v>1</v>
      </c>
      <c r="K32" s="312">
        <v>1</v>
      </c>
      <c r="L32" s="312">
        <v>1</v>
      </c>
      <c r="M32" s="313">
        <v>1</v>
      </c>
      <c r="N32" s="314">
        <v>1</v>
      </c>
    </row>
    <row r="33" spans="2:14" ht="14.55" x14ac:dyDescent="0.35">
      <c r="B33" s="511"/>
      <c r="C33" s="512" t="s">
        <v>1</v>
      </c>
      <c r="D33" s="315">
        <f>D31*D32</f>
        <v>0</v>
      </c>
      <c r="E33" s="315">
        <f t="shared" ref="E33:N33" si="0">E31*E32</f>
        <v>0</v>
      </c>
      <c r="F33" s="315">
        <f t="shared" si="0"/>
        <v>0</v>
      </c>
      <c r="G33" s="315">
        <f t="shared" si="0"/>
        <v>0</v>
      </c>
      <c r="H33" s="315">
        <f t="shared" si="0"/>
        <v>0</v>
      </c>
      <c r="I33" s="315">
        <f t="shared" si="0"/>
        <v>0</v>
      </c>
      <c r="J33" s="315">
        <f t="shared" si="0"/>
        <v>0</v>
      </c>
      <c r="K33" s="315">
        <f t="shared" si="0"/>
        <v>0</v>
      </c>
      <c r="L33" s="315">
        <f t="shared" si="0"/>
        <v>0</v>
      </c>
      <c r="M33" s="315">
        <f t="shared" si="0"/>
        <v>0</v>
      </c>
      <c r="N33" s="316">
        <f t="shared" si="0"/>
        <v>0</v>
      </c>
    </row>
    <row r="34" spans="2:14" x14ac:dyDescent="0.3">
      <c r="C34" s="344"/>
    </row>
    <row r="35" spans="2:14" x14ac:dyDescent="0.3">
      <c r="B35" s="321" t="s">
        <v>157</v>
      </c>
      <c r="C35" s="345"/>
      <c r="D35" s="341">
        <v>0</v>
      </c>
      <c r="E35" s="318">
        <v>0</v>
      </c>
      <c r="F35" s="318">
        <v>0</v>
      </c>
      <c r="G35" s="318">
        <v>0</v>
      </c>
      <c r="H35" s="318">
        <v>0</v>
      </c>
      <c r="I35" s="318">
        <v>0</v>
      </c>
      <c r="J35" s="318">
        <v>0</v>
      </c>
      <c r="K35" s="318">
        <v>0</v>
      </c>
      <c r="L35" s="318">
        <v>0</v>
      </c>
      <c r="M35" s="320">
        <v>0</v>
      </c>
      <c r="N35" s="319">
        <f>SUM(D35:M35)</f>
        <v>0</v>
      </c>
    </row>
    <row r="36" spans="2:14" x14ac:dyDescent="0.3">
      <c r="B36" s="317"/>
      <c r="C36" s="342" t="s">
        <v>275</v>
      </c>
      <c r="D36" s="312">
        <v>1</v>
      </c>
      <c r="E36" s="312">
        <v>1</v>
      </c>
      <c r="F36" s="312">
        <v>1</v>
      </c>
      <c r="G36" s="312">
        <v>1</v>
      </c>
      <c r="H36" s="312">
        <v>1</v>
      </c>
      <c r="I36" s="312">
        <v>1</v>
      </c>
      <c r="J36" s="312">
        <v>1</v>
      </c>
      <c r="K36" s="312">
        <v>1</v>
      </c>
      <c r="L36" s="312">
        <v>1</v>
      </c>
      <c r="M36" s="313">
        <v>1</v>
      </c>
      <c r="N36" s="314">
        <v>1</v>
      </c>
    </row>
    <row r="37" spans="2:14" x14ac:dyDescent="0.3">
      <c r="B37" s="511"/>
      <c r="C37" s="512" t="s">
        <v>1</v>
      </c>
      <c r="D37" s="315">
        <f>D35*D36</f>
        <v>0</v>
      </c>
      <c r="E37" s="315">
        <f t="shared" ref="E37" si="1">E35*E36</f>
        <v>0</v>
      </c>
      <c r="F37" s="315">
        <f t="shared" ref="F37" si="2">F35*F36</f>
        <v>0</v>
      </c>
      <c r="G37" s="315">
        <f t="shared" ref="G37" si="3">G35*G36</f>
        <v>0</v>
      </c>
      <c r="H37" s="315">
        <f t="shared" ref="H37" si="4">H35*H36</f>
        <v>0</v>
      </c>
      <c r="I37" s="315">
        <f t="shared" ref="I37" si="5">I35*I36</f>
        <v>0</v>
      </c>
      <c r="J37" s="315">
        <f t="shared" ref="J37" si="6">J35*J36</f>
        <v>0</v>
      </c>
      <c r="K37" s="315">
        <f t="shared" ref="K37" si="7">K35*K36</f>
        <v>0</v>
      </c>
      <c r="L37" s="315">
        <f t="shared" ref="L37" si="8">L35*L36</f>
        <v>0</v>
      </c>
      <c r="M37" s="315">
        <f t="shared" ref="M37" si="9">M35*M36</f>
        <v>0</v>
      </c>
      <c r="N37" s="316">
        <f t="shared" ref="N37" si="10">N35*N36</f>
        <v>0</v>
      </c>
    </row>
    <row r="38" spans="2:14" x14ac:dyDescent="0.3">
      <c r="C38" s="344"/>
    </row>
    <row r="39" spans="2:14" x14ac:dyDescent="0.3">
      <c r="B39" s="321" t="s">
        <v>158</v>
      </c>
      <c r="C39" s="345"/>
      <c r="D39" s="318">
        <v>0</v>
      </c>
      <c r="E39" s="318">
        <v>0</v>
      </c>
      <c r="F39" s="318">
        <v>0</v>
      </c>
      <c r="G39" s="318">
        <v>0</v>
      </c>
      <c r="H39" s="318">
        <v>0</v>
      </c>
      <c r="I39" s="318">
        <v>0</v>
      </c>
      <c r="J39" s="318">
        <v>0</v>
      </c>
      <c r="K39" s="318">
        <v>0</v>
      </c>
      <c r="L39" s="318">
        <v>0</v>
      </c>
      <c r="M39" s="320">
        <v>0</v>
      </c>
      <c r="N39" s="319">
        <f>SUM(D39:M39)</f>
        <v>0</v>
      </c>
    </row>
    <row r="40" spans="2:14" x14ac:dyDescent="0.3">
      <c r="B40" s="317"/>
      <c r="C40" s="342" t="s">
        <v>275</v>
      </c>
      <c r="D40" s="312">
        <v>1</v>
      </c>
      <c r="E40" s="312">
        <v>1</v>
      </c>
      <c r="F40" s="312">
        <v>1</v>
      </c>
      <c r="G40" s="312">
        <v>1</v>
      </c>
      <c r="H40" s="312">
        <v>1</v>
      </c>
      <c r="I40" s="312">
        <v>1</v>
      </c>
      <c r="J40" s="312">
        <v>1</v>
      </c>
      <c r="K40" s="312">
        <v>1</v>
      </c>
      <c r="L40" s="312">
        <v>1</v>
      </c>
      <c r="M40" s="313">
        <v>1</v>
      </c>
      <c r="N40" s="314">
        <v>1</v>
      </c>
    </row>
    <row r="41" spans="2:14" x14ac:dyDescent="0.3">
      <c r="B41" s="511"/>
      <c r="C41" s="512" t="s">
        <v>1</v>
      </c>
      <c r="D41" s="315">
        <f>D39*D40</f>
        <v>0</v>
      </c>
      <c r="E41" s="315">
        <f t="shared" ref="E41" si="11">E39*E40</f>
        <v>0</v>
      </c>
      <c r="F41" s="315">
        <f t="shared" ref="F41" si="12">F39*F40</f>
        <v>0</v>
      </c>
      <c r="G41" s="315">
        <f t="shared" ref="G41" si="13">G39*G40</f>
        <v>0</v>
      </c>
      <c r="H41" s="315">
        <f t="shared" ref="H41" si="14">H39*H40</f>
        <v>0</v>
      </c>
      <c r="I41" s="315">
        <f t="shared" ref="I41" si="15">I39*I40</f>
        <v>0</v>
      </c>
      <c r="J41" s="315">
        <f t="shared" ref="J41" si="16">J39*J40</f>
        <v>0</v>
      </c>
      <c r="K41" s="315">
        <f t="shared" ref="K41" si="17">K39*K40</f>
        <v>0</v>
      </c>
      <c r="L41" s="315">
        <f t="shared" ref="L41" si="18">L39*L40</f>
        <v>0</v>
      </c>
      <c r="M41" s="315">
        <f t="shared" ref="M41" si="19">M39*M40</f>
        <v>0</v>
      </c>
      <c r="N41" s="316">
        <f t="shared" ref="N41" si="20">N39*N40</f>
        <v>0</v>
      </c>
    </row>
    <row r="42" spans="2:14" x14ac:dyDescent="0.3">
      <c r="C42" s="344"/>
    </row>
    <row r="43" spans="2:14" x14ac:dyDescent="0.3">
      <c r="B43" s="321" t="s">
        <v>160</v>
      </c>
      <c r="C43" s="345"/>
      <c r="D43" s="318">
        <v>0</v>
      </c>
      <c r="E43" s="318">
        <v>0</v>
      </c>
      <c r="F43" s="318">
        <v>0</v>
      </c>
      <c r="G43" s="318">
        <v>0</v>
      </c>
      <c r="H43" s="318">
        <v>0</v>
      </c>
      <c r="I43" s="318">
        <v>0</v>
      </c>
      <c r="J43" s="318">
        <v>0</v>
      </c>
      <c r="K43" s="318">
        <v>0</v>
      </c>
      <c r="L43" s="318">
        <v>0</v>
      </c>
      <c r="M43" s="320">
        <v>0</v>
      </c>
      <c r="N43" s="319">
        <f>SUM(D43:M43)</f>
        <v>0</v>
      </c>
    </row>
    <row r="44" spans="2:14" x14ac:dyDescent="0.3">
      <c r="B44" s="317"/>
      <c r="C44" s="342" t="s">
        <v>275</v>
      </c>
      <c r="D44" s="312">
        <v>1</v>
      </c>
      <c r="E44" s="312">
        <v>1</v>
      </c>
      <c r="F44" s="312">
        <v>1</v>
      </c>
      <c r="G44" s="312">
        <v>1</v>
      </c>
      <c r="H44" s="312">
        <v>1</v>
      </c>
      <c r="I44" s="312">
        <v>1</v>
      </c>
      <c r="J44" s="312">
        <v>1</v>
      </c>
      <c r="K44" s="312">
        <v>1</v>
      </c>
      <c r="L44" s="312">
        <v>1</v>
      </c>
      <c r="M44" s="313">
        <v>1</v>
      </c>
      <c r="N44" s="314">
        <v>1</v>
      </c>
    </row>
    <row r="45" spans="2:14" x14ac:dyDescent="0.3">
      <c r="B45" s="511"/>
      <c r="C45" s="512" t="s">
        <v>1</v>
      </c>
      <c r="D45" s="315">
        <f>D43*D44</f>
        <v>0</v>
      </c>
      <c r="E45" s="315">
        <f t="shared" ref="E45" si="21">E43*E44</f>
        <v>0</v>
      </c>
      <c r="F45" s="315">
        <f t="shared" ref="F45" si="22">F43*F44</f>
        <v>0</v>
      </c>
      <c r="G45" s="315">
        <f t="shared" ref="G45" si="23">G43*G44</f>
        <v>0</v>
      </c>
      <c r="H45" s="315">
        <f t="shared" ref="H45" si="24">H43*H44</f>
        <v>0</v>
      </c>
      <c r="I45" s="315">
        <f t="shared" ref="I45" si="25">I43*I44</f>
        <v>0</v>
      </c>
      <c r="J45" s="315">
        <f t="shared" ref="J45" si="26">J43*J44</f>
        <v>0</v>
      </c>
      <c r="K45" s="315">
        <f t="shared" ref="K45" si="27">K43*K44</f>
        <v>0</v>
      </c>
      <c r="L45" s="315">
        <f t="shared" ref="L45" si="28">L43*L44</f>
        <v>0</v>
      </c>
      <c r="M45" s="315">
        <f t="shared" ref="M45" si="29">M43*M44</f>
        <v>0</v>
      </c>
      <c r="N45" s="316">
        <f t="shared" ref="N45" si="30">N43*N44</f>
        <v>0</v>
      </c>
    </row>
    <row r="46" spans="2:14" x14ac:dyDescent="0.3">
      <c r="C46" s="344"/>
    </row>
    <row r="47" spans="2:14" x14ac:dyDescent="0.3">
      <c r="B47" s="321" t="s">
        <v>159</v>
      </c>
      <c r="C47" s="345"/>
      <c r="D47" s="318">
        <v>0</v>
      </c>
      <c r="E47" s="318">
        <v>0</v>
      </c>
      <c r="F47" s="318">
        <v>0</v>
      </c>
      <c r="G47" s="318">
        <v>0</v>
      </c>
      <c r="H47" s="318">
        <v>0</v>
      </c>
      <c r="I47" s="318">
        <v>0</v>
      </c>
      <c r="J47" s="318">
        <v>0</v>
      </c>
      <c r="K47" s="318">
        <v>0</v>
      </c>
      <c r="L47" s="318">
        <v>0</v>
      </c>
      <c r="M47" s="320">
        <v>0</v>
      </c>
      <c r="N47" s="319">
        <f>SUM(D47:M47)</f>
        <v>0</v>
      </c>
    </row>
    <row r="48" spans="2:14" x14ac:dyDescent="0.3">
      <c r="B48" s="317"/>
      <c r="C48" s="342" t="s">
        <v>275</v>
      </c>
      <c r="D48" s="312">
        <v>1</v>
      </c>
      <c r="E48" s="312">
        <v>1</v>
      </c>
      <c r="F48" s="312">
        <v>1</v>
      </c>
      <c r="G48" s="312">
        <v>1</v>
      </c>
      <c r="H48" s="312">
        <v>1</v>
      </c>
      <c r="I48" s="312">
        <v>1</v>
      </c>
      <c r="J48" s="312">
        <v>1</v>
      </c>
      <c r="K48" s="312">
        <v>1</v>
      </c>
      <c r="L48" s="312">
        <v>1</v>
      </c>
      <c r="M48" s="313">
        <v>1</v>
      </c>
      <c r="N48" s="314">
        <v>1</v>
      </c>
    </row>
    <row r="49" spans="2:14" x14ac:dyDescent="0.3">
      <c r="B49" s="511"/>
      <c r="C49" s="512" t="s">
        <v>1</v>
      </c>
      <c r="D49" s="315">
        <f>D47*D48</f>
        <v>0</v>
      </c>
      <c r="E49" s="315">
        <f t="shared" ref="E49" si="31">E47*E48</f>
        <v>0</v>
      </c>
      <c r="F49" s="315">
        <f t="shared" ref="F49" si="32">F47*F48</f>
        <v>0</v>
      </c>
      <c r="G49" s="315">
        <f t="shared" ref="G49" si="33">G47*G48</f>
        <v>0</v>
      </c>
      <c r="H49" s="315">
        <f t="shared" ref="H49" si="34">H47*H48</f>
        <v>0</v>
      </c>
      <c r="I49" s="315">
        <f t="shared" ref="I49" si="35">I47*I48</f>
        <v>0</v>
      </c>
      <c r="J49" s="315">
        <f t="shared" ref="J49" si="36">J47*J48</f>
        <v>0</v>
      </c>
      <c r="K49" s="315">
        <f t="shared" ref="K49" si="37">K47*K48</f>
        <v>0</v>
      </c>
      <c r="L49" s="315">
        <f t="shared" ref="L49" si="38">L47*L48</f>
        <v>0</v>
      </c>
      <c r="M49" s="315">
        <f t="shared" ref="M49" si="39">M47*M48</f>
        <v>0</v>
      </c>
      <c r="N49" s="316">
        <f t="shared" ref="N49" si="40">N47*N48</f>
        <v>0</v>
      </c>
    </row>
    <row r="50" spans="2:14" x14ac:dyDescent="0.3">
      <c r="C50" s="344"/>
    </row>
    <row r="51" spans="2:14" x14ac:dyDescent="0.3">
      <c r="B51" s="321" t="s">
        <v>161</v>
      </c>
      <c r="C51" s="345"/>
      <c r="D51" s="318">
        <v>0</v>
      </c>
      <c r="E51" s="318">
        <v>0</v>
      </c>
      <c r="F51" s="318">
        <v>0</v>
      </c>
      <c r="G51" s="318">
        <v>0</v>
      </c>
      <c r="H51" s="318">
        <v>0</v>
      </c>
      <c r="I51" s="318">
        <v>0</v>
      </c>
      <c r="J51" s="318">
        <v>0</v>
      </c>
      <c r="K51" s="318">
        <v>0</v>
      </c>
      <c r="L51" s="318">
        <v>0</v>
      </c>
      <c r="M51" s="320">
        <v>0</v>
      </c>
      <c r="N51" s="319">
        <f>SUM(D51:M51)</f>
        <v>0</v>
      </c>
    </row>
    <row r="52" spans="2:14" x14ac:dyDescent="0.3">
      <c r="B52" s="317"/>
      <c r="C52" s="342" t="s">
        <v>275</v>
      </c>
      <c r="D52" s="312">
        <v>0.5</v>
      </c>
      <c r="E52" s="312">
        <v>0.5</v>
      </c>
      <c r="F52" s="312">
        <v>0.5</v>
      </c>
      <c r="G52" s="312">
        <v>0.5</v>
      </c>
      <c r="H52" s="312">
        <v>0.5</v>
      </c>
      <c r="I52" s="312">
        <v>0.5</v>
      </c>
      <c r="J52" s="312">
        <v>0.5</v>
      </c>
      <c r="K52" s="312">
        <v>0.5</v>
      </c>
      <c r="L52" s="312">
        <v>0.5</v>
      </c>
      <c r="M52" s="313">
        <v>0.5</v>
      </c>
      <c r="N52" s="314">
        <v>0.5</v>
      </c>
    </row>
    <row r="53" spans="2:14" x14ac:dyDescent="0.3">
      <c r="B53" s="511"/>
      <c r="C53" s="512" t="s">
        <v>1</v>
      </c>
      <c r="D53" s="315">
        <f>D51*D52</f>
        <v>0</v>
      </c>
      <c r="E53" s="315">
        <f t="shared" ref="E53" si="41">E51*E52</f>
        <v>0</v>
      </c>
      <c r="F53" s="315">
        <f t="shared" ref="F53" si="42">F51*F52</f>
        <v>0</v>
      </c>
      <c r="G53" s="315">
        <f t="shared" ref="G53" si="43">G51*G52</f>
        <v>0</v>
      </c>
      <c r="H53" s="315">
        <f t="shared" ref="H53" si="44">H51*H52</f>
        <v>0</v>
      </c>
      <c r="I53" s="315">
        <f t="shared" ref="I53" si="45">I51*I52</f>
        <v>0</v>
      </c>
      <c r="J53" s="315">
        <f t="shared" ref="J53" si="46">J51*J52</f>
        <v>0</v>
      </c>
      <c r="K53" s="315">
        <f t="shared" ref="K53" si="47">K51*K52</f>
        <v>0</v>
      </c>
      <c r="L53" s="315">
        <f t="shared" ref="L53" si="48">L51*L52</f>
        <v>0</v>
      </c>
      <c r="M53" s="315">
        <f t="shared" ref="M53" si="49">M51*M52</f>
        <v>0</v>
      </c>
      <c r="N53" s="316">
        <f t="shared" ref="N53" si="50">N51*N52</f>
        <v>0</v>
      </c>
    </row>
    <row r="54" spans="2:14" x14ac:dyDescent="0.3">
      <c r="C54" s="344"/>
    </row>
    <row r="55" spans="2:14" x14ac:dyDescent="0.3">
      <c r="B55" s="321" t="s">
        <v>162</v>
      </c>
      <c r="C55" s="345"/>
      <c r="D55" s="318">
        <v>0</v>
      </c>
      <c r="E55" s="318">
        <v>0</v>
      </c>
      <c r="F55" s="318">
        <v>0</v>
      </c>
      <c r="G55" s="318">
        <v>0</v>
      </c>
      <c r="H55" s="318">
        <v>0</v>
      </c>
      <c r="I55" s="318">
        <v>0</v>
      </c>
      <c r="J55" s="318">
        <v>0</v>
      </c>
      <c r="K55" s="318">
        <v>0</v>
      </c>
      <c r="L55" s="318">
        <v>0</v>
      </c>
      <c r="M55" s="320">
        <v>0</v>
      </c>
      <c r="N55" s="319">
        <f>SUM(D55:M55)</f>
        <v>0</v>
      </c>
    </row>
    <row r="56" spans="2:14" x14ac:dyDescent="0.3">
      <c r="B56" s="317"/>
      <c r="C56" s="342" t="s">
        <v>275</v>
      </c>
      <c r="D56" s="312">
        <v>1</v>
      </c>
      <c r="E56" s="312">
        <v>1</v>
      </c>
      <c r="F56" s="312">
        <v>1</v>
      </c>
      <c r="G56" s="312">
        <v>1</v>
      </c>
      <c r="H56" s="312">
        <v>1</v>
      </c>
      <c r="I56" s="312">
        <v>1</v>
      </c>
      <c r="J56" s="312">
        <v>1</v>
      </c>
      <c r="K56" s="312">
        <v>1</v>
      </c>
      <c r="L56" s="312">
        <v>1</v>
      </c>
      <c r="M56" s="313">
        <v>1</v>
      </c>
      <c r="N56" s="314">
        <v>1</v>
      </c>
    </row>
    <row r="57" spans="2:14" x14ac:dyDescent="0.3">
      <c r="B57" s="511"/>
      <c r="C57" s="512" t="s">
        <v>1</v>
      </c>
      <c r="D57" s="315">
        <f>D55*D56</f>
        <v>0</v>
      </c>
      <c r="E57" s="315">
        <f t="shared" ref="E57" si="51">E55*E56</f>
        <v>0</v>
      </c>
      <c r="F57" s="315">
        <f t="shared" ref="F57" si="52">F55*F56</f>
        <v>0</v>
      </c>
      <c r="G57" s="315">
        <f t="shared" ref="G57" si="53">G55*G56</f>
        <v>0</v>
      </c>
      <c r="H57" s="315">
        <f t="shared" ref="H57" si="54">H55*H56</f>
        <v>0</v>
      </c>
      <c r="I57" s="315">
        <f t="shared" ref="I57" si="55">I55*I56</f>
        <v>0</v>
      </c>
      <c r="J57" s="315">
        <f t="shared" ref="J57" si="56">J55*J56</f>
        <v>0</v>
      </c>
      <c r="K57" s="315">
        <f t="shared" ref="K57" si="57">K55*K56</f>
        <v>0</v>
      </c>
      <c r="L57" s="315">
        <f t="shared" ref="L57" si="58">L55*L56</f>
        <v>0</v>
      </c>
      <c r="M57" s="315">
        <f t="shared" ref="M57" si="59">M55*M56</f>
        <v>0</v>
      </c>
      <c r="N57" s="316">
        <f t="shared" ref="N57" si="60">N55*N56</f>
        <v>0</v>
      </c>
    </row>
    <row r="58" spans="2:14" x14ac:dyDescent="0.3">
      <c r="C58" s="344"/>
    </row>
    <row r="59" spans="2:14" x14ac:dyDescent="0.3">
      <c r="B59" s="321" t="s">
        <v>269</v>
      </c>
      <c r="C59" s="345"/>
      <c r="D59" s="318">
        <v>0</v>
      </c>
      <c r="E59" s="318">
        <v>0</v>
      </c>
      <c r="F59" s="318">
        <v>0</v>
      </c>
      <c r="G59" s="318">
        <v>0</v>
      </c>
      <c r="H59" s="318">
        <v>0</v>
      </c>
      <c r="I59" s="318">
        <v>0</v>
      </c>
      <c r="J59" s="318">
        <v>0</v>
      </c>
      <c r="K59" s="318">
        <v>0</v>
      </c>
      <c r="L59" s="318">
        <v>0</v>
      </c>
      <c r="M59" s="320">
        <v>0</v>
      </c>
      <c r="N59" s="319">
        <f>SUM(D59:M59)</f>
        <v>0</v>
      </c>
    </row>
    <row r="60" spans="2:14" x14ac:dyDescent="0.3">
      <c r="B60" s="317"/>
      <c r="C60" s="342" t="s">
        <v>275</v>
      </c>
      <c r="D60" s="312">
        <v>1</v>
      </c>
      <c r="E60" s="312">
        <v>1</v>
      </c>
      <c r="F60" s="312">
        <v>1</v>
      </c>
      <c r="G60" s="312">
        <v>1</v>
      </c>
      <c r="H60" s="312">
        <v>1</v>
      </c>
      <c r="I60" s="312">
        <v>1</v>
      </c>
      <c r="J60" s="312">
        <v>1</v>
      </c>
      <c r="K60" s="312">
        <v>1</v>
      </c>
      <c r="L60" s="312">
        <v>1</v>
      </c>
      <c r="M60" s="313">
        <v>1</v>
      </c>
      <c r="N60" s="314">
        <v>1</v>
      </c>
    </row>
    <row r="61" spans="2:14" x14ac:dyDescent="0.3">
      <c r="B61" s="511"/>
      <c r="C61" s="512" t="s">
        <v>1</v>
      </c>
      <c r="D61" s="315">
        <f>D59*D60</f>
        <v>0</v>
      </c>
      <c r="E61" s="315">
        <f t="shared" ref="E61" si="61">E59*E60</f>
        <v>0</v>
      </c>
      <c r="F61" s="315">
        <f t="shared" ref="F61" si="62">F59*F60</f>
        <v>0</v>
      </c>
      <c r="G61" s="315">
        <f t="shared" ref="G61" si="63">G59*G60</f>
        <v>0</v>
      </c>
      <c r="H61" s="315">
        <f t="shared" ref="H61" si="64">H59*H60</f>
        <v>0</v>
      </c>
      <c r="I61" s="315">
        <f t="shared" ref="I61" si="65">I59*I60</f>
        <v>0</v>
      </c>
      <c r="J61" s="315">
        <f t="shared" ref="J61" si="66">J59*J60</f>
        <v>0</v>
      </c>
      <c r="K61" s="315">
        <f t="shared" ref="K61" si="67">K59*K60</f>
        <v>0</v>
      </c>
      <c r="L61" s="315">
        <f t="shared" ref="L61" si="68">L59*L60</f>
        <v>0</v>
      </c>
      <c r="M61" s="315">
        <f t="shared" ref="M61" si="69">M59*M60</f>
        <v>0</v>
      </c>
      <c r="N61" s="316">
        <f t="shared" ref="N61" si="70">N59*N60</f>
        <v>0</v>
      </c>
    </row>
    <row r="62" spans="2:14" x14ac:dyDescent="0.3">
      <c r="C62" s="344"/>
    </row>
    <row r="63" spans="2:14" x14ac:dyDescent="0.3">
      <c r="B63" s="321" t="s">
        <v>270</v>
      </c>
      <c r="C63" s="345"/>
      <c r="D63" s="318">
        <v>0</v>
      </c>
      <c r="E63" s="318">
        <v>0</v>
      </c>
      <c r="F63" s="318">
        <v>0</v>
      </c>
      <c r="G63" s="318">
        <v>0</v>
      </c>
      <c r="H63" s="318">
        <v>0</v>
      </c>
      <c r="I63" s="318">
        <v>0</v>
      </c>
      <c r="J63" s="318">
        <v>0</v>
      </c>
      <c r="K63" s="318">
        <v>0</v>
      </c>
      <c r="L63" s="318">
        <v>0</v>
      </c>
      <c r="M63" s="320">
        <v>0</v>
      </c>
      <c r="N63" s="319">
        <f>SUM(D63:M63)</f>
        <v>0</v>
      </c>
    </row>
    <row r="64" spans="2:14" x14ac:dyDescent="0.3">
      <c r="B64" s="317"/>
      <c r="C64" s="342" t="s">
        <v>275</v>
      </c>
      <c r="D64" s="312">
        <v>1</v>
      </c>
      <c r="E64" s="312">
        <v>1</v>
      </c>
      <c r="F64" s="312">
        <v>1</v>
      </c>
      <c r="G64" s="312">
        <v>1</v>
      </c>
      <c r="H64" s="312">
        <v>1</v>
      </c>
      <c r="I64" s="312">
        <v>1</v>
      </c>
      <c r="J64" s="312">
        <v>1</v>
      </c>
      <c r="K64" s="312">
        <v>1</v>
      </c>
      <c r="L64" s="312">
        <v>1</v>
      </c>
      <c r="M64" s="313">
        <v>1</v>
      </c>
      <c r="N64" s="314">
        <v>1</v>
      </c>
    </row>
    <row r="65" spans="2:15" x14ac:dyDescent="0.3">
      <c r="B65" s="511"/>
      <c r="C65" s="512" t="s">
        <v>1</v>
      </c>
      <c r="D65" s="315">
        <f>D63*D64</f>
        <v>0</v>
      </c>
      <c r="E65" s="315">
        <f t="shared" ref="E65" si="71">E63*E64</f>
        <v>0</v>
      </c>
      <c r="F65" s="315">
        <f t="shared" ref="F65" si="72">F63*F64</f>
        <v>0</v>
      </c>
      <c r="G65" s="315">
        <f t="shared" ref="G65" si="73">G63*G64</f>
        <v>0</v>
      </c>
      <c r="H65" s="315">
        <f t="shared" ref="H65" si="74">H63*H64</f>
        <v>0</v>
      </c>
      <c r="I65" s="315">
        <f t="shared" ref="I65" si="75">I63*I64</f>
        <v>0</v>
      </c>
      <c r="J65" s="315">
        <f t="shared" ref="J65" si="76">J63*J64</f>
        <v>0</v>
      </c>
      <c r="K65" s="315">
        <f t="shared" ref="K65" si="77">K63*K64</f>
        <v>0</v>
      </c>
      <c r="L65" s="315">
        <f t="shared" ref="L65" si="78">L63*L64</f>
        <v>0</v>
      </c>
      <c r="M65" s="315">
        <f t="shared" ref="M65" si="79">M63*M64</f>
        <v>0</v>
      </c>
      <c r="N65" s="316">
        <f t="shared" ref="N65" si="80">N63*N64</f>
        <v>0</v>
      </c>
    </row>
    <row r="66" spans="2:15" x14ac:dyDescent="0.3">
      <c r="C66" s="344"/>
    </row>
    <row r="67" spans="2:15" x14ac:dyDescent="0.3">
      <c r="B67" s="321" t="s">
        <v>271</v>
      </c>
      <c r="C67" s="345"/>
      <c r="D67" s="318">
        <v>0</v>
      </c>
      <c r="E67" s="318">
        <v>0</v>
      </c>
      <c r="F67" s="318">
        <v>0</v>
      </c>
      <c r="G67" s="318">
        <v>0</v>
      </c>
      <c r="H67" s="318">
        <v>0</v>
      </c>
      <c r="I67" s="318">
        <v>0</v>
      </c>
      <c r="J67" s="318">
        <v>0</v>
      </c>
      <c r="K67" s="318">
        <v>0</v>
      </c>
      <c r="L67" s="318">
        <v>0</v>
      </c>
      <c r="M67" s="320">
        <v>0</v>
      </c>
      <c r="N67" s="319">
        <f>SUM(D67:M67)</f>
        <v>0</v>
      </c>
    </row>
    <row r="68" spans="2:15" x14ac:dyDescent="0.3">
      <c r="B68" s="317"/>
      <c r="C68" s="342" t="s">
        <v>275</v>
      </c>
      <c r="D68" s="312">
        <v>1</v>
      </c>
      <c r="E68" s="312">
        <v>1</v>
      </c>
      <c r="F68" s="312">
        <v>1</v>
      </c>
      <c r="G68" s="312">
        <v>1</v>
      </c>
      <c r="H68" s="312">
        <v>1</v>
      </c>
      <c r="I68" s="312">
        <v>1</v>
      </c>
      <c r="J68" s="312">
        <v>1</v>
      </c>
      <c r="K68" s="312">
        <v>1</v>
      </c>
      <c r="L68" s="312">
        <v>1</v>
      </c>
      <c r="M68" s="313">
        <v>1</v>
      </c>
      <c r="N68" s="314">
        <v>1</v>
      </c>
    </row>
    <row r="69" spans="2:15" x14ac:dyDescent="0.3">
      <c r="B69" s="511"/>
      <c r="C69" s="512" t="s">
        <v>1</v>
      </c>
      <c r="D69" s="315">
        <f>D67*D68</f>
        <v>0</v>
      </c>
      <c r="E69" s="315">
        <f t="shared" ref="E69" si="81">E67*E68</f>
        <v>0</v>
      </c>
      <c r="F69" s="315">
        <f t="shared" ref="F69" si="82">F67*F68</f>
        <v>0</v>
      </c>
      <c r="G69" s="315">
        <f t="shared" ref="G69" si="83">G67*G68</f>
        <v>0</v>
      </c>
      <c r="H69" s="315">
        <f t="shared" ref="H69" si="84">H67*H68</f>
        <v>0</v>
      </c>
      <c r="I69" s="315">
        <f t="shared" ref="I69" si="85">I67*I68</f>
        <v>0</v>
      </c>
      <c r="J69" s="315">
        <f t="shared" ref="J69" si="86">J67*J68</f>
        <v>0</v>
      </c>
      <c r="K69" s="315">
        <f t="shared" ref="K69" si="87">K67*K68</f>
        <v>0</v>
      </c>
      <c r="L69" s="315">
        <f t="shared" ref="L69" si="88">L67*L68</f>
        <v>0</v>
      </c>
      <c r="M69" s="315">
        <f t="shared" ref="M69" si="89">M67*M68</f>
        <v>0</v>
      </c>
      <c r="N69" s="316">
        <f t="shared" ref="N69" si="90">N67*N68</f>
        <v>0</v>
      </c>
    </row>
    <row r="70" spans="2:15" ht="7.05" customHeight="1" x14ac:dyDescent="0.3"/>
    <row r="71" spans="2:15" ht="7.05" customHeight="1" x14ac:dyDescent="0.3"/>
    <row r="72" spans="2:15" x14ac:dyDescent="0.3">
      <c r="B72" s="15" t="s">
        <v>277</v>
      </c>
      <c r="C72" s="15"/>
      <c r="D72" s="257">
        <f>D31+D35+D39+D43+D47+D51+D55+D59+D63+D67</f>
        <v>0</v>
      </c>
      <c r="E72" s="258">
        <f t="shared" ref="E72:N74" si="91">E31+E35+E39+E43+E47+E51+E55+E59+E63+E67</f>
        <v>0</v>
      </c>
      <c r="F72" s="258">
        <f t="shared" si="91"/>
        <v>0</v>
      </c>
      <c r="G72" s="258">
        <f t="shared" si="91"/>
        <v>0</v>
      </c>
      <c r="H72" s="258">
        <f t="shared" si="91"/>
        <v>0</v>
      </c>
      <c r="I72" s="258">
        <f t="shared" si="91"/>
        <v>0</v>
      </c>
      <c r="J72" s="258">
        <f t="shared" si="91"/>
        <v>0</v>
      </c>
      <c r="K72" s="258">
        <f t="shared" si="91"/>
        <v>0</v>
      </c>
      <c r="L72" s="258">
        <f t="shared" si="91"/>
        <v>0</v>
      </c>
      <c r="M72" s="259">
        <f t="shared" si="91"/>
        <v>0</v>
      </c>
      <c r="N72" s="259">
        <f t="shared" si="91"/>
        <v>0</v>
      </c>
    </row>
    <row r="73" spans="2:15" x14ac:dyDescent="0.3">
      <c r="B73" s="14" t="s">
        <v>326</v>
      </c>
      <c r="C73" s="15"/>
      <c r="D73" s="324" t="str">
        <f t="shared" ref="D73:J73" si="92">IF(D72=0,"NA",D74/D72)</f>
        <v>NA</v>
      </c>
      <c r="E73" s="325" t="str">
        <f t="shared" si="92"/>
        <v>NA</v>
      </c>
      <c r="F73" s="325" t="str">
        <f t="shared" si="92"/>
        <v>NA</v>
      </c>
      <c r="G73" s="325" t="str">
        <f t="shared" si="92"/>
        <v>NA</v>
      </c>
      <c r="H73" s="325" t="str">
        <f t="shared" si="92"/>
        <v>NA</v>
      </c>
      <c r="I73" s="325" t="str">
        <f t="shared" si="92"/>
        <v>NA</v>
      </c>
      <c r="J73" s="325" t="str">
        <f t="shared" si="92"/>
        <v>NA</v>
      </c>
      <c r="K73" s="325" t="str">
        <f>IF(K72=0,"NA",K74/K72)</f>
        <v>NA</v>
      </c>
      <c r="L73" s="325" t="str">
        <f t="shared" ref="L73:M73" si="93">IF(L72=0,"NA",L74/L72)</f>
        <v>NA</v>
      </c>
      <c r="M73" s="326" t="str">
        <f t="shared" si="93"/>
        <v>NA</v>
      </c>
      <c r="N73" s="326">
        <f>IF(N72=0,0,N74/N72)</f>
        <v>0</v>
      </c>
      <c r="O73" s="1"/>
    </row>
    <row r="74" spans="2:15" x14ac:dyDescent="0.3">
      <c r="B74" s="15" t="s">
        <v>276</v>
      </c>
      <c r="C74" s="15"/>
      <c r="D74" s="322">
        <f>D33+D37+D41+D45+D49+D53+D57+D61+D65+D69</f>
        <v>0</v>
      </c>
      <c r="E74" s="260">
        <f t="shared" si="91"/>
        <v>0</v>
      </c>
      <c r="F74" s="260">
        <f t="shared" si="91"/>
        <v>0</v>
      </c>
      <c r="G74" s="260">
        <f t="shared" si="91"/>
        <v>0</v>
      </c>
      <c r="H74" s="260">
        <f t="shared" si="91"/>
        <v>0</v>
      </c>
      <c r="I74" s="260">
        <f t="shared" si="91"/>
        <v>0</v>
      </c>
      <c r="J74" s="260">
        <f t="shared" si="91"/>
        <v>0</v>
      </c>
      <c r="K74" s="260">
        <f t="shared" si="91"/>
        <v>0</v>
      </c>
      <c r="L74" s="260">
        <f t="shared" si="91"/>
        <v>0</v>
      </c>
      <c r="M74" s="260">
        <f t="shared" si="91"/>
        <v>0</v>
      </c>
      <c r="N74" s="261">
        <f t="shared" si="91"/>
        <v>0</v>
      </c>
      <c r="O74" s="198"/>
    </row>
    <row r="75" spans="2:15" x14ac:dyDescent="0.3">
      <c r="B75" s="311" t="s">
        <v>198</v>
      </c>
      <c r="D75" s="240">
        <f>SUM(D31*D32+D35*D36+D39*D40+D43*D44+D47*D48+D51*D52+D55*D56+D59*D60+D63*D64+D67*D68)-D74</f>
        <v>0</v>
      </c>
      <c r="E75" s="240">
        <f t="shared" ref="E75:M75" si="94">SUM(E31*E32+E35*E36+E39*E40+E43*E44+E47*E48+E51*E52+E55*E56+E59*E60+E63*E64+E67*E68)-E74</f>
        <v>0</v>
      </c>
      <c r="F75" s="240">
        <f t="shared" si="94"/>
        <v>0</v>
      </c>
      <c r="G75" s="240">
        <f t="shared" si="94"/>
        <v>0</v>
      </c>
      <c r="H75" s="240">
        <f t="shared" si="94"/>
        <v>0</v>
      </c>
      <c r="I75" s="240">
        <f t="shared" si="94"/>
        <v>0</v>
      </c>
      <c r="J75" s="240">
        <f t="shared" si="94"/>
        <v>0</v>
      </c>
      <c r="K75" s="240">
        <f t="shared" si="94"/>
        <v>0</v>
      </c>
      <c r="L75" s="240">
        <f t="shared" si="94"/>
        <v>0</v>
      </c>
      <c r="M75" s="240">
        <f t="shared" si="94"/>
        <v>0</v>
      </c>
      <c r="N75" s="241">
        <f>SUM(N31*N32+N35*N36+N39*N40+N43*N44+N47*N48+N51*N52+N55*N56+N59*N60+N63*N64+N67*N68)-N74+(N72*N73-N74)</f>
        <v>0</v>
      </c>
    </row>
  </sheetData>
  <sheetProtection algorithmName="SHA-512" hashValue="KVI1vlpy4EZsKH64afrup0xrFRP3mSQAA7ruObnuC6h11foLrIOb0f9g7uqo34QU1kSb+OkYbnu4leh1AAZjGQ==" saltValue="dzAq0jPKXzDXr5Tsr3BqFg==" spinCount="100000" sheet="1" objects="1" scenarios="1" formatCells="0" formatColumns="0" formatRows="0" insertColumns="0" insertRows="0" deleteColumns="0" deleteRows="0"/>
  <protectedRanges>
    <protectedRange sqref="B31:N75 B24:E25" name="Grants"/>
  </protectedRanges>
  <pageMargins left="0.25" right="0.25" top="0.75" bottom="0.75" header="0.3" footer="0.3"/>
  <pageSetup scale="56" orientation="portrait" r:id="rId1"/>
  <ignoredErrors>
    <ignoredError sqref="D73:M7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O132"/>
  <sheetViews>
    <sheetView showGridLines="0" zoomScale="75" zoomScaleNormal="75" workbookViewId="0">
      <pane ySplit="2" topLeftCell="A3" activePane="bottomLeft" state="frozen"/>
      <selection activeCell="B7" sqref="B7"/>
      <selection pane="bottomLeft"/>
    </sheetView>
  </sheetViews>
  <sheetFormatPr defaultRowHeight="14.4" x14ac:dyDescent="0.3"/>
  <cols>
    <col min="1" max="1" width="4" customWidth="1"/>
    <col min="2" max="2" width="39.109375" customWidth="1"/>
    <col min="3" max="3" width="28.77734375" customWidth="1"/>
    <col min="4" max="4" width="13.109375" customWidth="1"/>
    <col min="5" max="9" width="12.5546875" bestFit="1" customWidth="1"/>
    <col min="10" max="11" width="12.5546875" customWidth="1"/>
    <col min="12" max="13" width="12.5546875" bestFit="1" customWidth="1"/>
    <col min="14" max="14" width="14.21875" bestFit="1" customWidth="1"/>
  </cols>
  <sheetData>
    <row r="2" spans="2:15" ht="15.45" x14ac:dyDescent="0.35">
      <c r="B2" s="16" t="str">
        <f>"Historical estimation of development cost for "&amp;'Inputs--&gt;'!$C$7&amp;" through FTE investment"</f>
        <v>Historical estimation of development cost for [ sample GG ] through FTE investment</v>
      </c>
      <c r="C2" s="26"/>
      <c r="D2" s="26"/>
      <c r="E2" s="11"/>
      <c r="F2" s="11"/>
      <c r="G2" s="11"/>
      <c r="H2" s="11"/>
      <c r="I2" s="11"/>
      <c r="J2" s="11"/>
      <c r="K2" s="11"/>
      <c r="L2" s="11"/>
      <c r="M2" s="11"/>
    </row>
    <row r="3" spans="2:15" ht="15.45" x14ac:dyDescent="0.35">
      <c r="B3" s="138" t="str">
        <f>"As of "&amp;TEXT('Inputs--&gt;'!$C$8,"MMMMMM yyyy")</f>
        <v>As of May 2019</v>
      </c>
      <c r="C3" s="26"/>
      <c r="D3" s="26"/>
      <c r="E3" s="11"/>
      <c r="F3" s="11"/>
      <c r="G3" s="11"/>
      <c r="H3" s="11"/>
      <c r="I3" s="11"/>
      <c r="J3" s="11"/>
      <c r="K3" s="11"/>
      <c r="L3" s="11"/>
      <c r="M3" s="11"/>
    </row>
    <row r="4" spans="2:15" ht="15.45" x14ac:dyDescent="0.35">
      <c r="B4" s="16"/>
      <c r="C4" s="26"/>
      <c r="D4" s="26"/>
      <c r="E4" s="11"/>
      <c r="F4" s="11"/>
      <c r="G4" s="11"/>
      <c r="H4" s="11"/>
      <c r="I4" s="11"/>
      <c r="J4" s="11"/>
      <c r="K4" s="11"/>
      <c r="L4" s="11"/>
      <c r="M4" s="11"/>
    </row>
    <row r="5" spans="2:15" ht="15.45" x14ac:dyDescent="0.35">
      <c r="B5" s="16" t="s">
        <v>49</v>
      </c>
      <c r="C5" s="26"/>
      <c r="D5" s="26"/>
      <c r="E5" s="11"/>
      <c r="F5" s="11"/>
      <c r="G5" s="11"/>
      <c r="H5" s="11"/>
      <c r="I5" s="11"/>
      <c r="J5" s="11"/>
      <c r="K5" s="11"/>
      <c r="L5" s="11"/>
      <c r="M5" s="11"/>
    </row>
    <row r="6" spans="2:15" ht="15.45" x14ac:dyDescent="0.35">
      <c r="B6" s="26" t="s">
        <v>479</v>
      </c>
      <c r="C6" s="26"/>
      <c r="D6" s="26"/>
      <c r="E6" s="11"/>
      <c r="F6" s="11"/>
      <c r="G6" s="11"/>
      <c r="H6" s="11"/>
      <c r="I6" s="11"/>
      <c r="J6" s="11"/>
      <c r="K6" s="11"/>
      <c r="L6" s="11"/>
      <c r="M6" s="11"/>
    </row>
    <row r="7" spans="2:15" ht="15.45" x14ac:dyDescent="0.35">
      <c r="B7" s="26" t="s">
        <v>451</v>
      </c>
      <c r="C7" s="26"/>
      <c r="D7" s="26"/>
      <c r="E7" s="11"/>
      <c r="F7" s="11"/>
      <c r="G7" s="11"/>
      <c r="H7" s="11"/>
      <c r="I7" s="11"/>
      <c r="J7" s="11"/>
      <c r="K7" s="11"/>
      <c r="L7" s="11"/>
      <c r="M7" s="11"/>
    </row>
    <row r="8" spans="2:15" ht="15.45" x14ac:dyDescent="0.35">
      <c r="B8" s="26" t="s">
        <v>473</v>
      </c>
      <c r="C8" s="26"/>
      <c r="D8" s="26"/>
      <c r="E8" s="11"/>
      <c r="F8" s="11"/>
      <c r="G8" s="11"/>
      <c r="H8" s="11"/>
      <c r="I8" s="11"/>
      <c r="J8" s="11"/>
      <c r="K8" s="11"/>
      <c r="L8" s="11"/>
      <c r="M8" s="11"/>
    </row>
    <row r="9" spans="2:15" ht="15.45" x14ac:dyDescent="0.35">
      <c r="B9" s="327" t="s">
        <v>474</v>
      </c>
      <c r="C9" s="26"/>
      <c r="D9" s="26"/>
      <c r="E9" s="11"/>
      <c r="F9" s="11"/>
      <c r="G9" s="11"/>
      <c r="H9" s="11"/>
      <c r="I9" s="11"/>
      <c r="J9" s="11"/>
      <c r="K9" s="11"/>
      <c r="L9" s="11"/>
      <c r="M9" s="11"/>
    </row>
    <row r="10" spans="2:15" ht="15.45" x14ac:dyDescent="0.35">
      <c r="B10" s="327" t="s">
        <v>465</v>
      </c>
      <c r="C10" s="26"/>
      <c r="D10" s="26"/>
      <c r="E10" s="11"/>
      <c r="F10" s="11"/>
      <c r="G10" s="11"/>
      <c r="H10" s="11"/>
      <c r="I10" s="11"/>
      <c r="J10" s="11"/>
      <c r="K10" s="11"/>
      <c r="L10" s="11"/>
      <c r="M10" s="11"/>
    </row>
    <row r="11" spans="2:15" ht="15.45" x14ac:dyDescent="0.35">
      <c r="C11" s="26"/>
      <c r="D11" s="26"/>
      <c r="E11" s="11"/>
      <c r="F11" s="11"/>
      <c r="G11" s="11"/>
      <c r="H11" s="11"/>
      <c r="I11" s="11"/>
      <c r="J11" s="11"/>
      <c r="K11" s="11"/>
      <c r="L11" s="11"/>
      <c r="M11" s="11"/>
      <c r="N11" s="11"/>
      <c r="O11" s="35"/>
    </row>
    <row r="12" spans="2:15" ht="15.45" x14ac:dyDescent="0.35">
      <c r="B12" s="16" t="s">
        <v>123</v>
      </c>
      <c r="C12" s="26"/>
      <c r="D12" s="26"/>
      <c r="E12" s="11"/>
      <c r="F12" s="11"/>
      <c r="G12" s="11"/>
      <c r="H12" s="11"/>
      <c r="I12" s="11"/>
      <c r="J12" s="11"/>
      <c r="K12" s="11"/>
      <c r="L12" s="11"/>
      <c r="M12" s="11"/>
      <c r="N12" s="11"/>
    </row>
    <row r="13" spans="2:15" ht="15.45" x14ac:dyDescent="0.35">
      <c r="B13" s="26" t="s">
        <v>475</v>
      </c>
      <c r="C13" s="26"/>
      <c r="D13" s="26"/>
      <c r="E13" s="11"/>
      <c r="F13" s="11"/>
      <c r="G13" s="11"/>
      <c r="H13" s="11"/>
      <c r="I13" s="11"/>
      <c r="J13" s="11"/>
      <c r="K13" s="11"/>
      <c r="L13" s="11"/>
      <c r="M13" s="11"/>
      <c r="N13" s="11"/>
    </row>
    <row r="14" spans="2:15" ht="15.6" x14ac:dyDescent="0.3">
      <c r="B14" s="296" t="s">
        <v>472</v>
      </c>
      <c r="C14" s="26"/>
      <c r="D14" s="26"/>
      <c r="E14" s="11"/>
      <c r="F14" s="11"/>
      <c r="G14" s="11"/>
      <c r="H14" s="11"/>
      <c r="I14" s="11"/>
      <c r="J14" s="11"/>
      <c r="K14" s="11"/>
      <c r="L14" s="11"/>
      <c r="M14" s="11"/>
      <c r="N14" s="11"/>
    </row>
    <row r="15" spans="2:15" ht="15.6" x14ac:dyDescent="0.3">
      <c r="B15" s="296" t="s">
        <v>476</v>
      </c>
      <c r="C15" s="26"/>
      <c r="D15" s="26"/>
      <c r="E15" s="11"/>
      <c r="F15" s="11"/>
      <c r="G15" s="11"/>
      <c r="H15" s="11"/>
      <c r="I15" s="11"/>
      <c r="J15" s="11"/>
      <c r="K15" s="11"/>
      <c r="L15" s="11"/>
      <c r="M15" s="11"/>
      <c r="N15" s="11"/>
    </row>
    <row r="16" spans="2:15" ht="15.6" x14ac:dyDescent="0.3">
      <c r="B16" s="296" t="s">
        <v>466</v>
      </c>
      <c r="C16" s="26"/>
      <c r="D16" s="26"/>
      <c r="E16" s="11"/>
      <c r="F16" s="11"/>
      <c r="G16" s="11"/>
      <c r="H16" s="11"/>
      <c r="I16" s="11"/>
      <c r="J16" s="11"/>
      <c r="K16" s="11"/>
      <c r="L16" s="11"/>
      <c r="M16" s="11"/>
      <c r="N16" s="11"/>
    </row>
    <row r="17" spans="2:14" ht="15.6" x14ac:dyDescent="0.3">
      <c r="B17" s="296" t="s">
        <v>402</v>
      </c>
      <c r="C17" s="26"/>
      <c r="D17" s="26"/>
      <c r="E17" s="11"/>
      <c r="F17" s="11"/>
      <c r="G17" s="11"/>
      <c r="H17" s="11"/>
      <c r="I17" s="11"/>
      <c r="J17" s="11"/>
      <c r="K17" s="11"/>
      <c r="L17" s="11"/>
      <c r="M17" s="11"/>
      <c r="N17" s="11"/>
    </row>
    <row r="18" spans="2:14" ht="15.6" x14ac:dyDescent="0.3">
      <c r="B18" s="296" t="s">
        <v>478</v>
      </c>
      <c r="C18" s="26"/>
      <c r="D18" s="26"/>
      <c r="E18" s="11"/>
      <c r="F18" s="11"/>
      <c r="G18" s="11"/>
      <c r="H18" s="11"/>
      <c r="I18" s="11"/>
      <c r="J18" s="11"/>
      <c r="K18" s="11"/>
      <c r="L18" s="11"/>
      <c r="M18" s="11"/>
      <c r="N18" s="11"/>
    </row>
    <row r="19" spans="2:14" ht="4.5" customHeight="1" x14ac:dyDescent="0.35">
      <c r="B19" s="444"/>
      <c r="C19" s="26"/>
      <c r="D19" s="26"/>
      <c r="E19" s="11"/>
      <c r="F19" s="11"/>
      <c r="G19" s="11"/>
      <c r="H19" s="11"/>
      <c r="I19" s="11"/>
      <c r="J19" s="11"/>
      <c r="K19" s="11"/>
      <c r="L19" s="11"/>
      <c r="M19" s="11"/>
      <c r="N19" s="11"/>
    </row>
    <row r="20" spans="2:14" ht="4.5" customHeight="1" x14ac:dyDescent="0.35">
      <c r="B20" s="26"/>
      <c r="C20" s="26"/>
      <c r="D20" s="26"/>
      <c r="E20" s="11"/>
      <c r="F20" s="11"/>
      <c r="G20" s="11"/>
      <c r="H20" s="11"/>
      <c r="I20" s="11"/>
      <c r="J20" s="11"/>
      <c r="K20" s="11"/>
      <c r="L20" s="11"/>
      <c r="M20" s="11"/>
      <c r="N20" s="11"/>
    </row>
    <row r="21" spans="2:14" ht="15.45" x14ac:dyDescent="0.35">
      <c r="B21" s="446" t="s">
        <v>467</v>
      </c>
      <c r="C21" s="26"/>
      <c r="D21" s="26"/>
      <c r="E21" s="11"/>
      <c r="F21" s="11"/>
      <c r="G21" s="11"/>
      <c r="H21" s="11"/>
      <c r="I21" s="11"/>
      <c r="J21" s="11"/>
      <c r="K21" s="11"/>
      <c r="L21" s="11"/>
      <c r="M21" s="11"/>
      <c r="N21" s="11"/>
    </row>
    <row r="22" spans="2:14" ht="15.6" x14ac:dyDescent="0.3">
      <c r="B22" s="296" t="s">
        <v>468</v>
      </c>
      <c r="C22" s="26"/>
      <c r="D22" s="26"/>
      <c r="E22" s="11"/>
      <c r="F22" s="11"/>
      <c r="G22" s="11"/>
      <c r="H22" s="11"/>
      <c r="I22" s="11"/>
      <c r="J22" s="11"/>
      <c r="K22" s="11"/>
      <c r="L22" s="11"/>
      <c r="M22" s="11"/>
      <c r="N22" s="11"/>
    </row>
    <row r="23" spans="2:14" ht="9.4499999999999993" customHeight="1" x14ac:dyDescent="0.35">
      <c r="B23" s="26"/>
      <c r="C23" s="26"/>
      <c r="D23" s="26"/>
      <c r="E23" s="11"/>
      <c r="F23" s="11"/>
      <c r="G23" s="11"/>
      <c r="H23" s="11"/>
      <c r="I23" s="11"/>
      <c r="J23" s="11"/>
      <c r="K23" s="11"/>
      <c r="L23" s="11"/>
      <c r="M23" s="11"/>
      <c r="N23" s="11"/>
    </row>
    <row r="24" spans="2:14" ht="15.45" x14ac:dyDescent="0.35">
      <c r="B24" s="449" t="s">
        <v>243</v>
      </c>
      <c r="C24" s="26"/>
      <c r="D24" s="26"/>
      <c r="E24" s="11"/>
      <c r="F24" s="11"/>
      <c r="G24" s="11"/>
      <c r="H24" s="11"/>
      <c r="I24" s="11"/>
      <c r="J24" s="11"/>
      <c r="K24" s="11"/>
      <c r="L24" s="11"/>
      <c r="M24" s="11"/>
      <c r="N24" s="11"/>
    </row>
    <row r="25" spans="2:14" ht="15.45" x14ac:dyDescent="0.35">
      <c r="B25" s="445" t="s">
        <v>381</v>
      </c>
      <c r="C25" s="26"/>
      <c r="D25" s="26"/>
      <c r="E25" s="11"/>
      <c r="F25" s="11"/>
      <c r="G25" s="11"/>
      <c r="H25" s="11"/>
      <c r="I25" s="11"/>
      <c r="J25" s="11"/>
      <c r="K25" s="11"/>
      <c r="L25" s="11"/>
      <c r="M25" s="11"/>
      <c r="N25" s="11"/>
    </row>
    <row r="26" spans="2:14" ht="15.45" x14ac:dyDescent="0.35">
      <c r="B26" s="450" t="s">
        <v>471</v>
      </c>
      <c r="C26" s="26"/>
      <c r="D26" s="26"/>
      <c r="E26" s="11"/>
      <c r="F26" s="11"/>
      <c r="G26" s="11"/>
      <c r="H26" s="11"/>
      <c r="I26" s="11"/>
      <c r="J26" s="11"/>
      <c r="K26" s="11"/>
      <c r="L26" s="11"/>
      <c r="M26" s="11"/>
      <c r="N26" s="11"/>
    </row>
    <row r="27" spans="2:14" ht="15.45" x14ac:dyDescent="0.35">
      <c r="B27" s="445" t="s">
        <v>244</v>
      </c>
      <c r="C27" s="26"/>
      <c r="D27" s="26"/>
      <c r="E27" s="11"/>
      <c r="F27" s="11"/>
      <c r="G27" s="11"/>
      <c r="H27" s="11"/>
      <c r="I27" s="11"/>
      <c r="J27" s="11"/>
      <c r="K27" s="11"/>
      <c r="L27" s="11"/>
      <c r="M27" s="11"/>
      <c r="N27" s="11"/>
    </row>
    <row r="28" spans="2:14" ht="15.45" x14ac:dyDescent="0.35">
      <c r="B28" s="445" t="s">
        <v>245</v>
      </c>
      <c r="C28" s="26"/>
      <c r="D28" s="26"/>
      <c r="E28" s="11"/>
      <c r="F28" s="11"/>
      <c r="G28" s="11"/>
      <c r="H28" s="11"/>
      <c r="I28" s="11"/>
      <c r="J28" s="11"/>
      <c r="K28" s="11"/>
      <c r="L28" s="11"/>
      <c r="M28" s="11"/>
      <c r="N28" s="11"/>
    </row>
    <row r="29" spans="2:14" ht="9.4499999999999993" customHeight="1" x14ac:dyDescent="0.35">
      <c r="B29" s="394"/>
      <c r="C29" s="26"/>
      <c r="D29" s="26"/>
      <c r="E29" s="11"/>
      <c r="F29" s="11"/>
      <c r="G29" s="11"/>
      <c r="H29" s="11"/>
      <c r="I29" s="11"/>
      <c r="J29" s="11"/>
      <c r="K29" s="11"/>
      <c r="L29" s="11"/>
      <c r="M29" s="11"/>
      <c r="N29" s="11"/>
    </row>
    <row r="30" spans="2:14" s="516" customFormat="1" ht="9.4499999999999993" customHeight="1" x14ac:dyDescent="0.35">
      <c r="B30" s="514"/>
      <c r="C30" s="514"/>
      <c r="D30" s="514"/>
      <c r="E30" s="515"/>
      <c r="F30" s="515"/>
      <c r="G30" s="515"/>
      <c r="H30" s="515"/>
      <c r="I30" s="515"/>
      <c r="J30" s="515"/>
      <c r="K30" s="515"/>
      <c r="M30" s="515"/>
      <c r="N30" s="515"/>
    </row>
    <row r="31" spans="2:14" ht="15.45" x14ac:dyDescent="0.35">
      <c r="B31" s="284" t="s">
        <v>279</v>
      </c>
      <c r="C31" s="285" t="s">
        <v>227</v>
      </c>
      <c r="D31" s="26"/>
      <c r="E31" s="11"/>
      <c r="F31" s="11"/>
      <c r="G31" s="11"/>
      <c r="H31" s="11"/>
      <c r="I31" s="11"/>
      <c r="J31" s="11"/>
      <c r="K31" s="11"/>
      <c r="M31" s="11"/>
      <c r="N31" s="11"/>
    </row>
    <row r="32" spans="2:14" ht="15.45" x14ac:dyDescent="0.35">
      <c r="B32" s="280" t="s">
        <v>232</v>
      </c>
      <c r="C32" s="281">
        <f>N104</f>
        <v>0</v>
      </c>
      <c r="D32" s="26"/>
      <c r="E32" s="11"/>
      <c r="F32" s="11"/>
      <c r="G32" s="11"/>
      <c r="H32" s="11"/>
      <c r="I32" s="11"/>
      <c r="J32" s="11"/>
      <c r="K32" s="11"/>
      <c r="L32" s="279"/>
      <c r="M32" s="11"/>
      <c r="N32" s="11"/>
    </row>
    <row r="33" spans="2:14" ht="15.45" x14ac:dyDescent="0.35">
      <c r="B33" s="286" t="s">
        <v>233</v>
      </c>
      <c r="C33" s="287">
        <f>$N$123</f>
        <v>0</v>
      </c>
      <c r="D33" s="26"/>
      <c r="E33" s="11"/>
      <c r="F33" s="11"/>
      <c r="G33" s="11"/>
      <c r="H33" s="11"/>
      <c r="I33" s="11"/>
      <c r="J33" s="11"/>
      <c r="K33" s="11"/>
      <c r="L33" s="279"/>
      <c r="M33" s="11"/>
      <c r="N33" s="11"/>
    </row>
    <row r="34" spans="2:14" ht="15.45" x14ac:dyDescent="0.35">
      <c r="B34" s="282" t="s">
        <v>231</v>
      </c>
      <c r="C34" s="283">
        <f>N131</f>
        <v>0</v>
      </c>
      <c r="D34" s="26"/>
      <c r="E34" s="11"/>
      <c r="F34" s="11"/>
      <c r="G34" s="11"/>
      <c r="H34" s="11"/>
      <c r="I34" s="11"/>
      <c r="J34" s="11"/>
      <c r="K34" s="11"/>
      <c r="L34" s="279"/>
      <c r="M34" s="11"/>
      <c r="N34" s="11"/>
    </row>
    <row r="35" spans="2:14" ht="13.05" customHeight="1" x14ac:dyDescent="0.35">
      <c r="B35" s="517" t="s">
        <v>198</v>
      </c>
      <c r="C35" s="291">
        <f>IF(AND(C32-N104=0,C33-N123=0,C34-N131=0),0,"CHECK")</f>
        <v>0</v>
      </c>
      <c r="D35" s="26"/>
      <c r="E35" s="11"/>
      <c r="F35" s="11"/>
      <c r="G35" s="11"/>
      <c r="H35" s="11"/>
      <c r="I35" s="11"/>
      <c r="J35" s="11"/>
      <c r="K35" s="11"/>
      <c r="L35" s="279"/>
      <c r="M35" s="11"/>
      <c r="N35" s="11"/>
    </row>
    <row r="36" spans="2:14" ht="19.05" customHeight="1" x14ac:dyDescent="0.3">
      <c r="B36" s="16" t="s">
        <v>346</v>
      </c>
      <c r="C36" s="291"/>
      <c r="D36" s="26"/>
      <c r="E36" s="11"/>
      <c r="F36" s="11"/>
      <c r="G36" s="11"/>
      <c r="H36" s="11"/>
      <c r="I36" s="11"/>
      <c r="J36" s="11"/>
      <c r="K36" s="11"/>
      <c r="L36" s="279"/>
      <c r="M36" s="11"/>
      <c r="N36" s="11"/>
    </row>
    <row r="37" spans="2:14" ht="18.45" customHeight="1" x14ac:dyDescent="0.3">
      <c r="B37" s="526" t="s">
        <v>404</v>
      </c>
      <c r="C37" s="513" t="s">
        <v>231</v>
      </c>
      <c r="D37" s="290" t="s">
        <v>403</v>
      </c>
      <c r="E37" s="11"/>
      <c r="F37" s="11"/>
      <c r="G37" s="11"/>
      <c r="H37" s="11"/>
      <c r="I37" s="11"/>
      <c r="J37" s="11"/>
      <c r="K37" s="11"/>
      <c r="L37" s="279"/>
      <c r="M37" s="11"/>
      <c r="N37" s="11"/>
    </row>
    <row r="38" spans="2:14" ht="15.6" x14ac:dyDescent="0.3">
      <c r="B38" s="16"/>
      <c r="C38" s="292">
        <f>VLOOKUP($C$37,$B$32:$C$34,2,0)</f>
        <v>0</v>
      </c>
      <c r="D38" s="297"/>
      <c r="E38" s="11"/>
      <c r="F38" s="11"/>
      <c r="G38" s="11"/>
      <c r="H38" s="11"/>
      <c r="I38" s="11"/>
      <c r="J38" s="11"/>
      <c r="K38" s="11"/>
      <c r="L38" s="279"/>
      <c r="M38" s="11"/>
      <c r="N38" s="11"/>
    </row>
    <row r="39" spans="2:14" ht="12" customHeight="1" x14ac:dyDescent="0.3">
      <c r="B39" s="239"/>
      <c r="C39" s="291"/>
      <c r="D39" s="26"/>
      <c r="E39" s="11"/>
      <c r="F39" s="11"/>
      <c r="G39" s="11"/>
      <c r="H39" s="11"/>
      <c r="I39" s="11"/>
      <c r="J39" s="11"/>
      <c r="K39" s="11"/>
      <c r="L39" s="279"/>
      <c r="M39" s="11"/>
      <c r="N39" s="11"/>
    </row>
    <row r="40" spans="2:14" ht="15.6" x14ac:dyDescent="0.3">
      <c r="B40" s="16" t="s">
        <v>222</v>
      </c>
      <c r="C40" s="11"/>
      <c r="D40" s="11"/>
      <c r="E40" s="11"/>
      <c r="F40" s="11"/>
      <c r="G40" s="11"/>
      <c r="H40" s="11"/>
      <c r="I40" s="11"/>
      <c r="J40" s="11"/>
      <c r="K40" s="11"/>
      <c r="L40" s="11"/>
      <c r="M40" s="11"/>
      <c r="N40" s="11"/>
    </row>
    <row r="41" spans="2:14" ht="7.05" customHeight="1" x14ac:dyDescent="0.3">
      <c r="B41" s="16"/>
      <c r="C41" s="47"/>
      <c r="D41" s="11"/>
      <c r="E41" s="11"/>
      <c r="F41" s="11"/>
      <c r="G41" s="11"/>
      <c r="H41" s="11"/>
      <c r="I41" s="11"/>
      <c r="J41" s="11"/>
      <c r="K41" s="11"/>
      <c r="L41" s="11"/>
      <c r="M41" s="11"/>
      <c r="N41" s="11"/>
    </row>
    <row r="42" spans="2:14" x14ac:dyDescent="0.3">
      <c r="B42" s="82" t="s">
        <v>65</v>
      </c>
      <c r="C42" s="84" t="s">
        <v>208</v>
      </c>
      <c r="D42" s="83" t="s">
        <v>66</v>
      </c>
      <c r="E42" s="83" t="s">
        <v>57</v>
      </c>
      <c r="F42" s="83" t="s">
        <v>58</v>
      </c>
      <c r="G42" s="83" t="s">
        <v>59</v>
      </c>
      <c r="H42" s="83" t="s">
        <v>60</v>
      </c>
      <c r="I42" s="83" t="s">
        <v>67</v>
      </c>
      <c r="J42" s="83" t="s">
        <v>62</v>
      </c>
      <c r="K42" s="83" t="s">
        <v>63</v>
      </c>
      <c r="L42" s="83" t="s">
        <v>272</v>
      </c>
      <c r="M42" s="84" t="s">
        <v>273</v>
      </c>
      <c r="N42" s="11"/>
    </row>
    <row r="43" spans="2:14" ht="15" thickBot="1" x14ac:dyDescent="0.35">
      <c r="B43" s="99"/>
      <c r="C43" s="89" t="s">
        <v>282</v>
      </c>
      <c r="D43" s="20" t="s">
        <v>209</v>
      </c>
      <c r="E43" s="21"/>
      <c r="F43" s="21"/>
      <c r="G43" s="21"/>
      <c r="H43" s="21"/>
      <c r="I43" s="21"/>
      <c r="J43" s="21"/>
      <c r="K43" s="21"/>
      <c r="L43" s="21"/>
      <c r="M43" s="85"/>
      <c r="N43" s="11"/>
    </row>
    <row r="44" spans="2:14" x14ac:dyDescent="0.3">
      <c r="B44" s="86" t="s">
        <v>41</v>
      </c>
      <c r="C44" s="238">
        <v>0</v>
      </c>
      <c r="D44" s="334">
        <v>0</v>
      </c>
      <c r="E44" s="334">
        <v>0</v>
      </c>
      <c r="F44" s="334">
        <v>0</v>
      </c>
      <c r="G44" s="334">
        <v>0</v>
      </c>
      <c r="H44" s="334">
        <v>0</v>
      </c>
      <c r="I44" s="334">
        <v>0</v>
      </c>
      <c r="J44" s="334">
        <v>0</v>
      </c>
      <c r="K44" s="334">
        <v>0</v>
      </c>
      <c r="L44" s="334">
        <v>0</v>
      </c>
      <c r="M44" s="335">
        <v>0</v>
      </c>
      <c r="N44" s="11"/>
    </row>
    <row r="45" spans="2:14" x14ac:dyDescent="0.3">
      <c r="B45" s="87" t="s">
        <v>40</v>
      </c>
      <c r="C45" s="237">
        <v>0</v>
      </c>
      <c r="D45" s="336">
        <v>0</v>
      </c>
      <c r="E45" s="336">
        <v>0</v>
      </c>
      <c r="F45" s="336">
        <v>0</v>
      </c>
      <c r="G45" s="336">
        <v>0</v>
      </c>
      <c r="H45" s="336">
        <v>0</v>
      </c>
      <c r="I45" s="336">
        <v>0</v>
      </c>
      <c r="J45" s="336">
        <v>0</v>
      </c>
      <c r="K45" s="336">
        <v>0</v>
      </c>
      <c r="L45" s="336">
        <v>0</v>
      </c>
      <c r="M45" s="337">
        <v>0</v>
      </c>
      <c r="N45" s="11"/>
    </row>
    <row r="46" spans="2:14" x14ac:dyDescent="0.3">
      <c r="B46" s="87" t="s">
        <v>42</v>
      </c>
      <c r="C46" s="237">
        <v>0</v>
      </c>
      <c r="D46" s="336">
        <v>0</v>
      </c>
      <c r="E46" s="336">
        <v>0</v>
      </c>
      <c r="F46" s="336">
        <v>0</v>
      </c>
      <c r="G46" s="336">
        <v>0</v>
      </c>
      <c r="H46" s="336">
        <v>0</v>
      </c>
      <c r="I46" s="336">
        <v>0</v>
      </c>
      <c r="J46" s="336">
        <v>0</v>
      </c>
      <c r="K46" s="336">
        <v>0</v>
      </c>
      <c r="L46" s="336">
        <v>0</v>
      </c>
      <c r="M46" s="337">
        <v>0</v>
      </c>
      <c r="N46" s="11"/>
    </row>
    <row r="47" spans="2:14" x14ac:dyDescent="0.3">
      <c r="B47" s="88" t="s">
        <v>44</v>
      </c>
      <c r="C47" s="237">
        <v>0</v>
      </c>
      <c r="D47" s="336">
        <v>0</v>
      </c>
      <c r="E47" s="336">
        <v>0</v>
      </c>
      <c r="F47" s="336">
        <v>0</v>
      </c>
      <c r="G47" s="336">
        <v>0</v>
      </c>
      <c r="H47" s="336">
        <v>0</v>
      </c>
      <c r="I47" s="336">
        <v>0</v>
      </c>
      <c r="J47" s="336">
        <v>0</v>
      </c>
      <c r="K47" s="336">
        <v>0</v>
      </c>
      <c r="L47" s="336">
        <v>0</v>
      </c>
      <c r="M47" s="337">
        <v>0</v>
      </c>
      <c r="N47" s="11"/>
    </row>
    <row r="48" spans="2:14" x14ac:dyDescent="0.3">
      <c r="B48" s="88" t="s">
        <v>43</v>
      </c>
      <c r="C48" s="237">
        <v>0</v>
      </c>
      <c r="D48" s="336">
        <v>0</v>
      </c>
      <c r="E48" s="336">
        <v>0</v>
      </c>
      <c r="F48" s="336">
        <v>0</v>
      </c>
      <c r="G48" s="336">
        <v>0</v>
      </c>
      <c r="H48" s="336">
        <v>0</v>
      </c>
      <c r="I48" s="336">
        <v>0</v>
      </c>
      <c r="J48" s="336">
        <v>0</v>
      </c>
      <c r="K48" s="336">
        <v>0</v>
      </c>
      <c r="L48" s="336">
        <v>0</v>
      </c>
      <c r="M48" s="337">
        <v>0</v>
      </c>
      <c r="N48" s="11"/>
    </row>
    <row r="49" spans="2:14" x14ac:dyDescent="0.3">
      <c r="B49" s="88" t="s">
        <v>45</v>
      </c>
      <c r="C49" s="237">
        <v>0</v>
      </c>
      <c r="D49" s="336">
        <v>0</v>
      </c>
      <c r="E49" s="336">
        <v>0</v>
      </c>
      <c r="F49" s="336">
        <v>0</v>
      </c>
      <c r="G49" s="336">
        <v>0</v>
      </c>
      <c r="H49" s="336">
        <v>0</v>
      </c>
      <c r="I49" s="336">
        <v>0</v>
      </c>
      <c r="J49" s="336">
        <v>0</v>
      </c>
      <c r="K49" s="336">
        <v>0</v>
      </c>
      <c r="L49" s="336">
        <v>0</v>
      </c>
      <c r="M49" s="337">
        <v>0</v>
      </c>
      <c r="N49" s="11"/>
    </row>
    <row r="50" spans="2:14" x14ac:dyDescent="0.3">
      <c r="B50" s="88" t="s">
        <v>46</v>
      </c>
      <c r="C50" s="237">
        <v>0</v>
      </c>
      <c r="D50" s="336">
        <v>0</v>
      </c>
      <c r="E50" s="336">
        <v>0</v>
      </c>
      <c r="F50" s="336">
        <v>0</v>
      </c>
      <c r="G50" s="336">
        <v>0</v>
      </c>
      <c r="H50" s="336">
        <v>0</v>
      </c>
      <c r="I50" s="336">
        <v>0</v>
      </c>
      <c r="J50" s="336">
        <v>0</v>
      </c>
      <c r="K50" s="336">
        <v>0</v>
      </c>
      <c r="L50" s="336">
        <v>0</v>
      </c>
      <c r="M50" s="337">
        <v>0</v>
      </c>
      <c r="N50" s="11"/>
    </row>
    <row r="51" spans="2:14" x14ac:dyDescent="0.3">
      <c r="B51" s="88" t="s">
        <v>216</v>
      </c>
      <c r="C51" s="237">
        <v>0</v>
      </c>
      <c r="D51" s="336">
        <v>0</v>
      </c>
      <c r="E51" s="336">
        <v>0</v>
      </c>
      <c r="F51" s="336">
        <v>0</v>
      </c>
      <c r="G51" s="336">
        <v>0</v>
      </c>
      <c r="H51" s="336">
        <v>0</v>
      </c>
      <c r="I51" s="336">
        <v>0</v>
      </c>
      <c r="J51" s="336">
        <v>0</v>
      </c>
      <c r="K51" s="336">
        <v>0</v>
      </c>
      <c r="L51" s="336">
        <v>0</v>
      </c>
      <c r="M51" s="337">
        <v>0</v>
      </c>
      <c r="N51" s="11"/>
    </row>
    <row r="52" spans="2:14" x14ac:dyDescent="0.3">
      <c r="B52" s="88" t="s">
        <v>217</v>
      </c>
      <c r="C52" s="237">
        <v>0</v>
      </c>
      <c r="D52" s="336">
        <v>0</v>
      </c>
      <c r="E52" s="336">
        <v>0</v>
      </c>
      <c r="F52" s="336">
        <v>0</v>
      </c>
      <c r="G52" s="336">
        <v>0</v>
      </c>
      <c r="H52" s="336">
        <v>0</v>
      </c>
      <c r="I52" s="336">
        <v>0</v>
      </c>
      <c r="J52" s="336">
        <v>0</v>
      </c>
      <c r="K52" s="336">
        <v>0</v>
      </c>
      <c r="L52" s="336">
        <v>0</v>
      </c>
      <c r="M52" s="337">
        <v>0</v>
      </c>
      <c r="N52" s="11"/>
    </row>
    <row r="53" spans="2:14" x14ac:dyDescent="0.3">
      <c r="B53" s="88" t="s">
        <v>218</v>
      </c>
      <c r="C53" s="237">
        <v>0</v>
      </c>
      <c r="D53" s="336">
        <v>0</v>
      </c>
      <c r="E53" s="336">
        <v>0</v>
      </c>
      <c r="F53" s="336">
        <v>0</v>
      </c>
      <c r="G53" s="336">
        <v>0</v>
      </c>
      <c r="H53" s="336">
        <v>0</v>
      </c>
      <c r="I53" s="336">
        <v>0</v>
      </c>
      <c r="J53" s="336">
        <v>0</v>
      </c>
      <c r="K53" s="336">
        <v>0</v>
      </c>
      <c r="L53" s="336">
        <v>0</v>
      </c>
      <c r="M53" s="337">
        <v>0</v>
      </c>
      <c r="N53" s="11"/>
    </row>
    <row r="54" spans="2:14" x14ac:dyDescent="0.3">
      <c r="B54" s="88" t="s">
        <v>219</v>
      </c>
      <c r="C54" s="237">
        <v>0</v>
      </c>
      <c r="D54" s="336">
        <v>0</v>
      </c>
      <c r="E54" s="336">
        <v>0</v>
      </c>
      <c r="F54" s="336">
        <v>0</v>
      </c>
      <c r="G54" s="336">
        <v>0</v>
      </c>
      <c r="H54" s="336">
        <v>0</v>
      </c>
      <c r="I54" s="336">
        <v>0</v>
      </c>
      <c r="J54" s="336">
        <v>0</v>
      </c>
      <c r="K54" s="336">
        <v>0</v>
      </c>
      <c r="L54" s="336">
        <v>0</v>
      </c>
      <c r="M54" s="337">
        <v>0</v>
      </c>
      <c r="N54" s="11"/>
    </row>
    <row r="55" spans="2:14" x14ac:dyDescent="0.3">
      <c r="B55" s="88" t="s">
        <v>220</v>
      </c>
      <c r="C55" s="237">
        <v>0</v>
      </c>
      <c r="D55" s="336">
        <v>0</v>
      </c>
      <c r="E55" s="336">
        <v>0</v>
      </c>
      <c r="F55" s="336">
        <v>0</v>
      </c>
      <c r="G55" s="336">
        <v>0</v>
      </c>
      <c r="H55" s="336">
        <v>0</v>
      </c>
      <c r="I55" s="336">
        <v>0</v>
      </c>
      <c r="J55" s="336">
        <v>0</v>
      </c>
      <c r="K55" s="336">
        <v>0</v>
      </c>
      <c r="L55" s="336">
        <v>0</v>
      </c>
      <c r="M55" s="337">
        <v>0</v>
      </c>
      <c r="N55" s="11"/>
    </row>
    <row r="56" spans="2:14" x14ac:dyDescent="0.3">
      <c r="B56" s="88" t="s">
        <v>221</v>
      </c>
      <c r="C56" s="237">
        <v>0</v>
      </c>
      <c r="D56" s="336">
        <v>0</v>
      </c>
      <c r="E56" s="336">
        <v>0</v>
      </c>
      <c r="F56" s="336">
        <v>0</v>
      </c>
      <c r="G56" s="336">
        <v>0</v>
      </c>
      <c r="H56" s="336">
        <v>0</v>
      </c>
      <c r="I56" s="336">
        <v>0</v>
      </c>
      <c r="J56" s="336">
        <v>0</v>
      </c>
      <c r="K56" s="336">
        <v>0</v>
      </c>
      <c r="L56" s="336">
        <v>0</v>
      </c>
      <c r="M56" s="337">
        <v>0</v>
      </c>
      <c r="N56" s="11"/>
    </row>
    <row r="57" spans="2:14" x14ac:dyDescent="0.3">
      <c r="B57" s="275" t="s">
        <v>226</v>
      </c>
      <c r="C57" s="276"/>
      <c r="D57" s="328">
        <f t="shared" ref="D57:M57" si="0">SUM(D$44:D$56)</f>
        <v>0</v>
      </c>
      <c r="E57" s="328">
        <f t="shared" si="0"/>
        <v>0</v>
      </c>
      <c r="F57" s="328">
        <f t="shared" si="0"/>
        <v>0</v>
      </c>
      <c r="G57" s="328">
        <f t="shared" si="0"/>
        <v>0</v>
      </c>
      <c r="H57" s="328">
        <f t="shared" si="0"/>
        <v>0</v>
      </c>
      <c r="I57" s="328">
        <f t="shared" si="0"/>
        <v>0</v>
      </c>
      <c r="J57" s="328">
        <f t="shared" si="0"/>
        <v>0</v>
      </c>
      <c r="K57" s="328">
        <f t="shared" si="0"/>
        <v>0</v>
      </c>
      <c r="L57" s="328">
        <f t="shared" si="0"/>
        <v>0</v>
      </c>
      <c r="M57" s="329">
        <f t="shared" si="0"/>
        <v>0</v>
      </c>
      <c r="N57" s="11"/>
    </row>
    <row r="58" spans="2:14" ht="9" customHeight="1" x14ac:dyDescent="0.3">
      <c r="B58" s="7"/>
      <c r="C58" s="6"/>
      <c r="D58" s="6"/>
      <c r="E58" s="11"/>
      <c r="F58" s="11"/>
      <c r="G58" s="11"/>
      <c r="H58" s="11"/>
      <c r="I58" s="11"/>
      <c r="J58" s="11"/>
      <c r="K58" s="11"/>
      <c r="L58" s="11"/>
      <c r="M58" s="11"/>
      <c r="N58" s="11"/>
    </row>
    <row r="59" spans="2:14" ht="9" customHeight="1" x14ac:dyDescent="0.3">
      <c r="B59" s="7"/>
      <c r="C59" s="6"/>
      <c r="D59" s="6"/>
      <c r="E59" s="11"/>
      <c r="F59" s="11"/>
      <c r="G59" s="11"/>
      <c r="H59" s="11"/>
      <c r="I59" s="11"/>
      <c r="J59" s="11"/>
      <c r="K59" s="11"/>
      <c r="L59" s="11"/>
      <c r="M59" s="11"/>
      <c r="N59" s="11"/>
    </row>
    <row r="60" spans="2:14" ht="15.6" x14ac:dyDescent="0.3">
      <c r="B60" s="16" t="s">
        <v>223</v>
      </c>
      <c r="C60" s="11"/>
      <c r="D60" s="11"/>
      <c r="E60" s="11"/>
      <c r="F60" s="11"/>
      <c r="G60" s="11"/>
      <c r="H60" s="11"/>
      <c r="I60" s="11"/>
      <c r="J60" s="11"/>
      <c r="K60" s="11"/>
      <c r="L60" s="11"/>
      <c r="M60" s="11"/>
      <c r="N60" s="11"/>
    </row>
    <row r="61" spans="2:14" ht="7.05" customHeight="1" x14ac:dyDescent="0.3">
      <c r="B61" s="16"/>
      <c r="C61" s="47"/>
      <c r="D61" s="11"/>
      <c r="E61" s="11"/>
      <c r="F61" s="11"/>
      <c r="G61" s="11"/>
      <c r="H61" s="11"/>
      <c r="I61" s="11"/>
      <c r="J61" s="11"/>
      <c r="K61" s="11"/>
      <c r="L61" s="11"/>
      <c r="M61" s="11"/>
      <c r="N61" s="11"/>
    </row>
    <row r="62" spans="2:14" x14ac:dyDescent="0.3">
      <c r="B62" s="82" t="s">
        <v>65</v>
      </c>
      <c r="C62" s="84" t="s">
        <v>224</v>
      </c>
      <c r="D62" s="83" t="s">
        <v>66</v>
      </c>
      <c r="E62" s="83" t="s">
        <v>57</v>
      </c>
      <c r="F62" s="83" t="s">
        <v>58</v>
      </c>
      <c r="G62" s="83" t="s">
        <v>59</v>
      </c>
      <c r="H62" s="83" t="s">
        <v>60</v>
      </c>
      <c r="I62" s="83" t="s">
        <v>67</v>
      </c>
      <c r="J62" s="83" t="s">
        <v>62</v>
      </c>
      <c r="K62" s="83" t="s">
        <v>63</v>
      </c>
      <c r="L62" s="83" t="s">
        <v>272</v>
      </c>
      <c r="M62" s="84" t="s">
        <v>273</v>
      </c>
      <c r="N62" s="11"/>
    </row>
    <row r="63" spans="2:14" ht="19.05" customHeight="1" thickBot="1" x14ac:dyDescent="0.35">
      <c r="B63" s="99"/>
      <c r="C63" s="89" t="s">
        <v>282</v>
      </c>
      <c r="D63" s="20" t="s">
        <v>209</v>
      </c>
      <c r="E63" s="21"/>
      <c r="F63" s="21"/>
      <c r="G63" s="21"/>
      <c r="H63" s="21"/>
      <c r="I63" s="21"/>
      <c r="J63" s="21"/>
      <c r="K63" s="21"/>
      <c r="L63" s="21"/>
      <c r="M63" s="85"/>
      <c r="N63" s="11"/>
    </row>
    <row r="64" spans="2:14" x14ac:dyDescent="0.3">
      <c r="B64" s="86" t="s">
        <v>41</v>
      </c>
      <c r="C64" s="238">
        <v>0</v>
      </c>
      <c r="D64" s="330">
        <v>0</v>
      </c>
      <c r="E64" s="330">
        <v>0</v>
      </c>
      <c r="F64" s="330">
        <v>0</v>
      </c>
      <c r="G64" s="330">
        <v>0</v>
      </c>
      <c r="H64" s="330">
        <v>0</v>
      </c>
      <c r="I64" s="330">
        <v>0</v>
      </c>
      <c r="J64" s="330">
        <v>0</v>
      </c>
      <c r="K64" s="330">
        <v>0</v>
      </c>
      <c r="L64" s="330">
        <v>0</v>
      </c>
      <c r="M64" s="331">
        <v>0</v>
      </c>
      <c r="N64" s="11"/>
    </row>
    <row r="65" spans="2:14" x14ac:dyDescent="0.3">
      <c r="B65" s="87" t="s">
        <v>40</v>
      </c>
      <c r="C65" s="237">
        <v>0</v>
      </c>
      <c r="D65" s="332">
        <v>0</v>
      </c>
      <c r="E65" s="332">
        <v>0</v>
      </c>
      <c r="F65" s="332">
        <v>0</v>
      </c>
      <c r="G65" s="332">
        <v>0</v>
      </c>
      <c r="H65" s="332">
        <v>0</v>
      </c>
      <c r="I65" s="332">
        <v>0</v>
      </c>
      <c r="J65" s="332">
        <v>0</v>
      </c>
      <c r="K65" s="332">
        <v>0</v>
      </c>
      <c r="L65" s="332">
        <v>0</v>
      </c>
      <c r="M65" s="333">
        <v>0</v>
      </c>
      <c r="N65" s="11"/>
    </row>
    <row r="66" spans="2:14" x14ac:dyDescent="0.3">
      <c r="B66" s="87" t="s">
        <v>42</v>
      </c>
      <c r="C66" s="237">
        <v>0</v>
      </c>
      <c r="D66" s="332">
        <v>0</v>
      </c>
      <c r="E66" s="332">
        <v>0</v>
      </c>
      <c r="F66" s="332">
        <v>0</v>
      </c>
      <c r="G66" s="332">
        <v>0</v>
      </c>
      <c r="H66" s="332">
        <v>0</v>
      </c>
      <c r="I66" s="332">
        <v>0</v>
      </c>
      <c r="J66" s="332">
        <v>0</v>
      </c>
      <c r="K66" s="332">
        <v>0</v>
      </c>
      <c r="L66" s="332">
        <v>0</v>
      </c>
      <c r="M66" s="333">
        <v>0</v>
      </c>
      <c r="N66" s="11"/>
    </row>
    <row r="67" spans="2:14" x14ac:dyDescent="0.3">
      <c r="B67" s="88" t="s">
        <v>44</v>
      </c>
      <c r="C67" s="237">
        <v>0</v>
      </c>
      <c r="D67" s="332">
        <v>0</v>
      </c>
      <c r="E67" s="332">
        <v>0</v>
      </c>
      <c r="F67" s="332">
        <v>0</v>
      </c>
      <c r="G67" s="332">
        <v>0</v>
      </c>
      <c r="H67" s="332">
        <v>0</v>
      </c>
      <c r="I67" s="332">
        <v>0</v>
      </c>
      <c r="J67" s="332">
        <v>0</v>
      </c>
      <c r="K67" s="332">
        <v>0</v>
      </c>
      <c r="L67" s="332">
        <v>0</v>
      </c>
      <c r="M67" s="333">
        <v>0</v>
      </c>
      <c r="N67" s="11"/>
    </row>
    <row r="68" spans="2:14" x14ac:dyDescent="0.3">
      <c r="B68" s="88" t="s">
        <v>43</v>
      </c>
      <c r="C68" s="237">
        <v>0</v>
      </c>
      <c r="D68" s="332">
        <v>0</v>
      </c>
      <c r="E68" s="332">
        <v>0</v>
      </c>
      <c r="F68" s="332">
        <v>0</v>
      </c>
      <c r="G68" s="332">
        <v>0</v>
      </c>
      <c r="H68" s="332">
        <v>0</v>
      </c>
      <c r="I68" s="332">
        <v>0</v>
      </c>
      <c r="J68" s="332">
        <v>0</v>
      </c>
      <c r="K68" s="332">
        <v>0</v>
      </c>
      <c r="L68" s="332">
        <v>0</v>
      </c>
      <c r="M68" s="333">
        <v>0</v>
      </c>
      <c r="N68" s="11"/>
    </row>
    <row r="69" spans="2:14" x14ac:dyDescent="0.3">
      <c r="B69" s="88" t="s">
        <v>45</v>
      </c>
      <c r="C69" s="237">
        <v>0</v>
      </c>
      <c r="D69" s="332">
        <v>0</v>
      </c>
      <c r="E69" s="332">
        <v>0</v>
      </c>
      <c r="F69" s="332">
        <v>0</v>
      </c>
      <c r="G69" s="332">
        <v>0</v>
      </c>
      <c r="H69" s="332">
        <v>0</v>
      </c>
      <c r="I69" s="332">
        <v>0</v>
      </c>
      <c r="J69" s="332">
        <v>0</v>
      </c>
      <c r="K69" s="332">
        <v>0</v>
      </c>
      <c r="L69" s="332">
        <v>0</v>
      </c>
      <c r="M69" s="333">
        <v>0</v>
      </c>
      <c r="N69" s="11"/>
    </row>
    <row r="70" spans="2:14" x14ac:dyDescent="0.3">
      <c r="B70" s="88" t="s">
        <v>46</v>
      </c>
      <c r="C70" s="237">
        <v>0</v>
      </c>
      <c r="D70" s="332">
        <v>0</v>
      </c>
      <c r="E70" s="332">
        <v>0</v>
      </c>
      <c r="F70" s="332">
        <v>0</v>
      </c>
      <c r="G70" s="332">
        <v>0</v>
      </c>
      <c r="H70" s="332">
        <v>0</v>
      </c>
      <c r="I70" s="332">
        <v>0</v>
      </c>
      <c r="J70" s="332">
        <v>0</v>
      </c>
      <c r="K70" s="332">
        <v>0</v>
      </c>
      <c r="L70" s="332">
        <v>0</v>
      </c>
      <c r="M70" s="333">
        <v>0</v>
      </c>
      <c r="N70" s="11"/>
    </row>
    <row r="71" spans="2:14" x14ac:dyDescent="0.3">
      <c r="B71" s="88" t="s">
        <v>216</v>
      </c>
      <c r="C71" s="237">
        <v>0</v>
      </c>
      <c r="D71" s="332">
        <v>0</v>
      </c>
      <c r="E71" s="332">
        <v>0</v>
      </c>
      <c r="F71" s="332">
        <v>0</v>
      </c>
      <c r="G71" s="332">
        <v>0</v>
      </c>
      <c r="H71" s="332">
        <v>0</v>
      </c>
      <c r="I71" s="332">
        <v>0</v>
      </c>
      <c r="J71" s="332">
        <v>0</v>
      </c>
      <c r="K71" s="332">
        <v>0</v>
      </c>
      <c r="L71" s="332">
        <v>0</v>
      </c>
      <c r="M71" s="333">
        <v>0</v>
      </c>
      <c r="N71" s="11"/>
    </row>
    <row r="72" spans="2:14" x14ac:dyDescent="0.3">
      <c r="B72" s="88" t="s">
        <v>217</v>
      </c>
      <c r="C72" s="237">
        <v>0</v>
      </c>
      <c r="D72" s="332">
        <v>0</v>
      </c>
      <c r="E72" s="332">
        <v>0</v>
      </c>
      <c r="F72" s="332">
        <v>0</v>
      </c>
      <c r="G72" s="332">
        <v>0</v>
      </c>
      <c r="H72" s="332">
        <v>0</v>
      </c>
      <c r="I72" s="332">
        <v>0</v>
      </c>
      <c r="J72" s="332">
        <v>0</v>
      </c>
      <c r="K72" s="332">
        <v>0</v>
      </c>
      <c r="L72" s="332">
        <v>0</v>
      </c>
      <c r="M72" s="333">
        <v>0</v>
      </c>
      <c r="N72" s="11"/>
    </row>
    <row r="73" spans="2:14" x14ac:dyDescent="0.3">
      <c r="B73" s="88" t="s">
        <v>218</v>
      </c>
      <c r="C73" s="237">
        <v>0</v>
      </c>
      <c r="D73" s="332">
        <v>0</v>
      </c>
      <c r="E73" s="332">
        <v>0</v>
      </c>
      <c r="F73" s="332">
        <v>0</v>
      </c>
      <c r="G73" s="332">
        <v>0</v>
      </c>
      <c r="H73" s="332">
        <v>0</v>
      </c>
      <c r="I73" s="332">
        <v>0</v>
      </c>
      <c r="J73" s="332">
        <v>0</v>
      </c>
      <c r="K73" s="332">
        <v>0</v>
      </c>
      <c r="L73" s="332">
        <v>0</v>
      </c>
      <c r="M73" s="333">
        <v>0</v>
      </c>
      <c r="N73" s="11"/>
    </row>
    <row r="74" spans="2:14" x14ac:dyDescent="0.3">
      <c r="B74" s="88" t="s">
        <v>219</v>
      </c>
      <c r="C74" s="237">
        <v>0</v>
      </c>
      <c r="D74" s="332">
        <v>0</v>
      </c>
      <c r="E74" s="332">
        <v>0</v>
      </c>
      <c r="F74" s="332">
        <v>0</v>
      </c>
      <c r="G74" s="332">
        <v>0</v>
      </c>
      <c r="H74" s="332">
        <v>0</v>
      </c>
      <c r="I74" s="332">
        <v>0</v>
      </c>
      <c r="J74" s="332">
        <v>0</v>
      </c>
      <c r="K74" s="332">
        <v>0</v>
      </c>
      <c r="L74" s="332">
        <v>0</v>
      </c>
      <c r="M74" s="333">
        <v>0</v>
      </c>
      <c r="N74" s="11"/>
    </row>
    <row r="75" spans="2:14" x14ac:dyDescent="0.3">
      <c r="B75" s="88" t="s">
        <v>220</v>
      </c>
      <c r="C75" s="237">
        <v>0</v>
      </c>
      <c r="D75" s="332">
        <v>0</v>
      </c>
      <c r="E75" s="332">
        <v>0</v>
      </c>
      <c r="F75" s="332">
        <v>0</v>
      </c>
      <c r="G75" s="332">
        <v>0</v>
      </c>
      <c r="H75" s="332">
        <v>0</v>
      </c>
      <c r="I75" s="332">
        <v>0</v>
      </c>
      <c r="J75" s="332">
        <v>0</v>
      </c>
      <c r="K75" s="332">
        <v>0</v>
      </c>
      <c r="L75" s="332">
        <v>0</v>
      </c>
      <c r="M75" s="333">
        <v>0</v>
      </c>
      <c r="N75" s="11"/>
    </row>
    <row r="76" spans="2:14" x14ac:dyDescent="0.3">
      <c r="B76" s="88" t="s">
        <v>221</v>
      </c>
      <c r="C76" s="237">
        <v>0</v>
      </c>
      <c r="D76" s="332">
        <v>0</v>
      </c>
      <c r="E76" s="332">
        <v>0</v>
      </c>
      <c r="F76" s="332">
        <v>0</v>
      </c>
      <c r="G76" s="332">
        <v>0</v>
      </c>
      <c r="H76" s="332">
        <v>0</v>
      </c>
      <c r="I76" s="332">
        <v>0</v>
      </c>
      <c r="J76" s="332">
        <v>0</v>
      </c>
      <c r="K76" s="332">
        <v>0</v>
      </c>
      <c r="L76" s="332">
        <v>0</v>
      </c>
      <c r="M76" s="333">
        <v>0</v>
      </c>
      <c r="N76" s="11"/>
    </row>
    <row r="77" spans="2:14" x14ac:dyDescent="0.3">
      <c r="B77" s="275" t="s">
        <v>225</v>
      </c>
      <c r="C77" s="276"/>
      <c r="D77" s="328">
        <f t="shared" ref="D77:M77" si="1">SUM(D$64:D$76)</f>
        <v>0</v>
      </c>
      <c r="E77" s="328">
        <f t="shared" si="1"/>
        <v>0</v>
      </c>
      <c r="F77" s="328">
        <f t="shared" si="1"/>
        <v>0</v>
      </c>
      <c r="G77" s="328">
        <f t="shared" si="1"/>
        <v>0</v>
      </c>
      <c r="H77" s="328">
        <f t="shared" si="1"/>
        <v>0</v>
      </c>
      <c r="I77" s="328">
        <f t="shared" si="1"/>
        <v>0</v>
      </c>
      <c r="J77" s="328">
        <f t="shared" si="1"/>
        <v>0</v>
      </c>
      <c r="K77" s="328">
        <f t="shared" si="1"/>
        <v>0</v>
      </c>
      <c r="L77" s="328">
        <f t="shared" si="1"/>
        <v>0</v>
      </c>
      <c r="M77" s="329">
        <f t="shared" si="1"/>
        <v>0</v>
      </c>
      <c r="N77" s="11"/>
    </row>
    <row r="78" spans="2:14" x14ac:dyDescent="0.3">
      <c r="B78" s="7"/>
      <c r="C78" s="6"/>
      <c r="D78" s="6"/>
      <c r="E78" s="11"/>
      <c r="F78" s="11"/>
      <c r="G78" s="11"/>
      <c r="H78" s="11"/>
      <c r="I78" s="11"/>
      <c r="J78" s="11"/>
      <c r="K78" s="11"/>
      <c r="L78" s="11"/>
      <c r="M78" s="11"/>
      <c r="N78" s="11"/>
    </row>
    <row r="79" spans="2:14" ht="15.6" x14ac:dyDescent="0.3">
      <c r="B79" s="16" t="s">
        <v>229</v>
      </c>
      <c r="C79" s="11"/>
      <c r="D79" s="11"/>
      <c r="E79" s="11"/>
      <c r="F79" s="11"/>
      <c r="G79" s="11"/>
      <c r="H79" s="11"/>
      <c r="I79" s="11"/>
      <c r="J79" s="11"/>
      <c r="K79" s="11"/>
      <c r="L79" s="11"/>
      <c r="M79" s="11"/>
      <c r="N79" s="11"/>
    </row>
    <row r="80" spans="2:14" ht="7.05" customHeight="1" x14ac:dyDescent="0.3">
      <c r="B80" s="16"/>
      <c r="C80" s="47"/>
      <c r="D80" s="11"/>
      <c r="E80" s="11"/>
      <c r="F80" s="11"/>
      <c r="G80" s="11"/>
      <c r="H80" s="11"/>
      <c r="I80" s="11"/>
      <c r="J80" s="11"/>
      <c r="K80" s="11"/>
      <c r="L80" s="11"/>
      <c r="M80" s="11"/>
      <c r="N80" s="11"/>
    </row>
    <row r="81" spans="2:14" x14ac:dyDescent="0.3">
      <c r="B81" s="97" t="s">
        <v>230</v>
      </c>
      <c r="C81" s="84"/>
      <c r="D81" s="83" t="s">
        <v>66</v>
      </c>
      <c r="E81" s="83" t="s">
        <v>57</v>
      </c>
      <c r="F81" s="83" t="s">
        <v>58</v>
      </c>
      <c r="G81" s="83" t="s">
        <v>59</v>
      </c>
      <c r="H81" s="83" t="s">
        <v>60</v>
      </c>
      <c r="I81" s="83" t="s">
        <v>67</v>
      </c>
      <c r="J81" s="83" t="s">
        <v>62</v>
      </c>
      <c r="K81" s="83" t="s">
        <v>63</v>
      </c>
      <c r="L81" s="83" t="s">
        <v>272</v>
      </c>
      <c r="M81" s="84" t="s">
        <v>273</v>
      </c>
      <c r="N81" s="11"/>
    </row>
    <row r="82" spans="2:14" ht="15" thickBot="1" x14ac:dyDescent="0.35">
      <c r="B82" s="99"/>
      <c r="C82" s="89"/>
      <c r="D82" s="20" t="s">
        <v>209</v>
      </c>
      <c r="E82" s="21"/>
      <c r="F82" s="21"/>
      <c r="G82" s="21"/>
      <c r="H82" s="21"/>
      <c r="I82" s="21"/>
      <c r="J82" s="21"/>
      <c r="K82" s="21"/>
      <c r="L82" s="21"/>
      <c r="M82" s="85"/>
      <c r="N82" s="11"/>
    </row>
    <row r="83" spans="2:14" x14ac:dyDescent="0.3">
      <c r="B83" s="447" t="s">
        <v>234</v>
      </c>
      <c r="C83" s="288"/>
      <c r="D83" s="522">
        <f>D$57</f>
        <v>0</v>
      </c>
      <c r="E83" s="522">
        <f t="shared" ref="E83:M83" si="2">E$57</f>
        <v>0</v>
      </c>
      <c r="F83" s="522">
        <f t="shared" si="2"/>
        <v>0</v>
      </c>
      <c r="G83" s="522">
        <f t="shared" si="2"/>
        <v>0</v>
      </c>
      <c r="H83" s="522">
        <f t="shared" si="2"/>
        <v>0</v>
      </c>
      <c r="I83" s="522">
        <f t="shared" si="2"/>
        <v>0</v>
      </c>
      <c r="J83" s="522">
        <f t="shared" si="2"/>
        <v>0</v>
      </c>
      <c r="K83" s="522">
        <f t="shared" si="2"/>
        <v>0</v>
      </c>
      <c r="L83" s="522">
        <f t="shared" si="2"/>
        <v>0</v>
      </c>
      <c r="M83" s="523">
        <f t="shared" si="2"/>
        <v>0</v>
      </c>
      <c r="N83" s="11"/>
    </row>
    <row r="84" spans="2:14" x14ac:dyDescent="0.3">
      <c r="B84" s="448" t="s">
        <v>235</v>
      </c>
      <c r="C84" s="289"/>
      <c r="D84" s="524">
        <f>D$77</f>
        <v>0</v>
      </c>
      <c r="E84" s="524">
        <f t="shared" ref="E84:M84" si="3">E$77</f>
        <v>0</v>
      </c>
      <c r="F84" s="524">
        <f t="shared" si="3"/>
        <v>0</v>
      </c>
      <c r="G84" s="524">
        <f t="shared" si="3"/>
        <v>0</v>
      </c>
      <c r="H84" s="524">
        <f t="shared" si="3"/>
        <v>0</v>
      </c>
      <c r="I84" s="524">
        <f t="shared" si="3"/>
        <v>0</v>
      </c>
      <c r="J84" s="524">
        <f t="shared" si="3"/>
        <v>0</v>
      </c>
      <c r="K84" s="524">
        <f t="shared" si="3"/>
        <v>0</v>
      </c>
      <c r="L84" s="524">
        <f t="shared" si="3"/>
        <v>0</v>
      </c>
      <c r="M84" s="525">
        <f t="shared" si="3"/>
        <v>0</v>
      </c>
      <c r="N84" s="11"/>
    </row>
    <row r="85" spans="2:14" x14ac:dyDescent="0.3">
      <c r="B85" s="275" t="s">
        <v>236</v>
      </c>
      <c r="C85" s="276"/>
      <c r="D85" s="328">
        <f t="shared" ref="D85:M85" si="4">SUM(D$83:D$84)</f>
        <v>0</v>
      </c>
      <c r="E85" s="328">
        <f t="shared" si="4"/>
        <v>0</v>
      </c>
      <c r="F85" s="328">
        <f t="shared" si="4"/>
        <v>0</v>
      </c>
      <c r="G85" s="328">
        <f t="shared" si="4"/>
        <v>0</v>
      </c>
      <c r="H85" s="328">
        <f t="shared" si="4"/>
        <v>0</v>
      </c>
      <c r="I85" s="328">
        <f t="shared" si="4"/>
        <v>0</v>
      </c>
      <c r="J85" s="328">
        <f t="shared" si="4"/>
        <v>0</v>
      </c>
      <c r="K85" s="328">
        <f t="shared" si="4"/>
        <v>0</v>
      </c>
      <c r="L85" s="328">
        <f t="shared" si="4"/>
        <v>0</v>
      </c>
      <c r="M85" s="329">
        <f t="shared" si="4"/>
        <v>0</v>
      </c>
      <c r="N85" s="11"/>
    </row>
    <row r="86" spans="2:14" x14ac:dyDescent="0.3">
      <c r="B86" s="7"/>
      <c r="C86" s="239" t="s">
        <v>198</v>
      </c>
      <c r="D86" s="240">
        <f t="shared" ref="D86:M86" si="5">D85-D77-D57</f>
        <v>0</v>
      </c>
      <c r="E86" s="240">
        <f t="shared" si="5"/>
        <v>0</v>
      </c>
      <c r="F86" s="240">
        <f t="shared" si="5"/>
        <v>0</v>
      </c>
      <c r="G86" s="240">
        <f t="shared" si="5"/>
        <v>0</v>
      </c>
      <c r="H86" s="240">
        <f t="shared" si="5"/>
        <v>0</v>
      </c>
      <c r="I86" s="240">
        <f t="shared" si="5"/>
        <v>0</v>
      </c>
      <c r="J86" s="240">
        <f t="shared" si="5"/>
        <v>0</v>
      </c>
      <c r="K86" s="240">
        <f t="shared" si="5"/>
        <v>0</v>
      </c>
      <c r="L86" s="240">
        <f t="shared" si="5"/>
        <v>0</v>
      </c>
      <c r="M86" s="240">
        <f t="shared" si="5"/>
        <v>0</v>
      </c>
      <c r="N86" s="235"/>
    </row>
    <row r="87" spans="2:14" ht="15.6" x14ac:dyDescent="0.3">
      <c r="B87" s="8" t="s">
        <v>241</v>
      </c>
      <c r="C87" s="11"/>
      <c r="D87" s="11"/>
      <c r="E87" s="11"/>
      <c r="F87" s="11"/>
      <c r="G87" s="11"/>
      <c r="H87" s="11"/>
      <c r="I87" s="11"/>
      <c r="J87" s="11"/>
      <c r="K87" s="11"/>
      <c r="L87" s="11"/>
      <c r="M87" s="11"/>
      <c r="N87" s="11"/>
    </row>
    <row r="88" spans="2:14" ht="7.05" customHeight="1" x14ac:dyDescent="0.3">
      <c r="B88" s="11"/>
      <c r="C88" s="11"/>
      <c r="D88" s="11"/>
      <c r="E88" s="11"/>
      <c r="F88" s="11"/>
      <c r="G88" s="11"/>
      <c r="H88" s="11"/>
      <c r="I88" s="11"/>
      <c r="J88" s="11"/>
      <c r="K88" s="11"/>
      <c r="L88" s="11"/>
      <c r="M88" s="11"/>
      <c r="N88" s="11"/>
    </row>
    <row r="89" spans="2:14" x14ac:dyDescent="0.3">
      <c r="B89" s="97" t="s">
        <v>64</v>
      </c>
      <c r="C89" s="205"/>
      <c r="D89" s="83" t="s">
        <v>56</v>
      </c>
      <c r="E89" s="83" t="s">
        <v>57</v>
      </c>
      <c r="F89" s="83" t="s">
        <v>58</v>
      </c>
      <c r="G89" s="83" t="s">
        <v>59</v>
      </c>
      <c r="H89" s="83" t="s">
        <v>60</v>
      </c>
      <c r="I89" s="83" t="s">
        <v>67</v>
      </c>
      <c r="J89" s="83" t="s">
        <v>62</v>
      </c>
      <c r="K89" s="83" t="s">
        <v>63</v>
      </c>
      <c r="L89" s="83" t="s">
        <v>272</v>
      </c>
      <c r="M89" s="84" t="s">
        <v>273</v>
      </c>
      <c r="N89" s="100" t="s">
        <v>1</v>
      </c>
    </row>
    <row r="90" spans="2:14" ht="15" thickBot="1" x14ac:dyDescent="0.35">
      <c r="B90" s="99" t="s">
        <v>280</v>
      </c>
      <c r="C90" s="206"/>
      <c r="D90" s="22"/>
      <c r="E90" s="23"/>
      <c r="F90" s="23"/>
      <c r="G90" s="23"/>
      <c r="H90" s="23"/>
      <c r="I90" s="23"/>
      <c r="J90" s="23"/>
      <c r="K90" s="23"/>
      <c r="L90" s="23"/>
      <c r="M90" s="98"/>
      <c r="N90" s="98"/>
    </row>
    <row r="91" spans="2:14" x14ac:dyDescent="0.3">
      <c r="B91" s="196" t="str">
        <f>B44</f>
        <v>Senior Developer</v>
      </c>
      <c r="C91" s="207"/>
      <c r="D91" s="250">
        <f t="shared" ref="D91:M91" si="6">D44*$C44</f>
        <v>0</v>
      </c>
      <c r="E91" s="250">
        <f t="shared" si="6"/>
        <v>0</v>
      </c>
      <c r="F91" s="250">
        <f t="shared" si="6"/>
        <v>0</v>
      </c>
      <c r="G91" s="250">
        <f t="shared" si="6"/>
        <v>0</v>
      </c>
      <c r="H91" s="250">
        <f t="shared" si="6"/>
        <v>0</v>
      </c>
      <c r="I91" s="250">
        <f t="shared" si="6"/>
        <v>0</v>
      </c>
      <c r="J91" s="250">
        <f t="shared" si="6"/>
        <v>0</v>
      </c>
      <c r="K91" s="250">
        <f t="shared" si="6"/>
        <v>0</v>
      </c>
      <c r="L91" s="250">
        <f t="shared" si="6"/>
        <v>0</v>
      </c>
      <c r="M91" s="251">
        <f t="shared" si="6"/>
        <v>0</v>
      </c>
      <c r="N91" s="252">
        <f>SUM(D91:M91)</f>
        <v>0</v>
      </c>
    </row>
    <row r="92" spans="2:14" x14ac:dyDescent="0.3">
      <c r="B92" s="196" t="str">
        <f>B45</f>
        <v>Junior Developer</v>
      </c>
      <c r="C92" s="207"/>
      <c r="D92" s="202">
        <f t="shared" ref="D92:M92" si="7">D45*$C45</f>
        <v>0</v>
      </c>
      <c r="E92" s="202">
        <f t="shared" si="7"/>
        <v>0</v>
      </c>
      <c r="F92" s="202">
        <f t="shared" si="7"/>
        <v>0</v>
      </c>
      <c r="G92" s="202">
        <f t="shared" si="7"/>
        <v>0</v>
      </c>
      <c r="H92" s="202">
        <f t="shared" si="7"/>
        <v>0</v>
      </c>
      <c r="I92" s="202">
        <f t="shared" si="7"/>
        <v>0</v>
      </c>
      <c r="J92" s="202">
        <f t="shared" si="7"/>
        <v>0</v>
      </c>
      <c r="K92" s="202">
        <f t="shared" si="7"/>
        <v>0</v>
      </c>
      <c r="L92" s="202">
        <f t="shared" si="7"/>
        <v>0</v>
      </c>
      <c r="M92" s="203">
        <f t="shared" si="7"/>
        <v>0</v>
      </c>
      <c r="N92" s="204">
        <f t="shared" ref="N92" si="8">SUM(D92:M92)</f>
        <v>0</v>
      </c>
    </row>
    <row r="93" spans="2:14" x14ac:dyDescent="0.3">
      <c r="B93" s="196" t="str">
        <f>B46</f>
        <v>IT Personnel</v>
      </c>
      <c r="C93" s="207"/>
      <c r="D93" s="202">
        <f t="shared" ref="D93:M93" si="9">D46*$C46</f>
        <v>0</v>
      </c>
      <c r="E93" s="202">
        <f t="shared" si="9"/>
        <v>0</v>
      </c>
      <c r="F93" s="202">
        <f t="shared" si="9"/>
        <v>0</v>
      </c>
      <c r="G93" s="202">
        <f t="shared" si="9"/>
        <v>0</v>
      </c>
      <c r="H93" s="202">
        <f t="shared" si="9"/>
        <v>0</v>
      </c>
      <c r="I93" s="202">
        <f t="shared" si="9"/>
        <v>0</v>
      </c>
      <c r="J93" s="202">
        <f t="shared" si="9"/>
        <v>0</v>
      </c>
      <c r="K93" s="202">
        <f t="shared" si="9"/>
        <v>0</v>
      </c>
      <c r="L93" s="202">
        <f t="shared" si="9"/>
        <v>0</v>
      </c>
      <c r="M93" s="203">
        <f t="shared" si="9"/>
        <v>0</v>
      </c>
      <c r="N93" s="204">
        <f t="shared" ref="N93:N102" si="10">SUM(D93:M93)</f>
        <v>0</v>
      </c>
    </row>
    <row r="94" spans="2:14" x14ac:dyDescent="0.3">
      <c r="B94" s="196" t="s">
        <v>44</v>
      </c>
      <c r="C94" s="207"/>
      <c r="D94" s="202">
        <f t="shared" ref="D94:M94" si="11">D47*$C47</f>
        <v>0</v>
      </c>
      <c r="E94" s="202">
        <f t="shared" si="11"/>
        <v>0</v>
      </c>
      <c r="F94" s="202">
        <f t="shared" si="11"/>
        <v>0</v>
      </c>
      <c r="G94" s="202">
        <f t="shared" si="11"/>
        <v>0</v>
      </c>
      <c r="H94" s="202">
        <f t="shared" si="11"/>
        <v>0</v>
      </c>
      <c r="I94" s="202">
        <f t="shared" si="11"/>
        <v>0</v>
      </c>
      <c r="J94" s="202">
        <f t="shared" si="11"/>
        <v>0</v>
      </c>
      <c r="K94" s="202">
        <f t="shared" si="11"/>
        <v>0</v>
      </c>
      <c r="L94" s="202">
        <f t="shared" si="11"/>
        <v>0</v>
      </c>
      <c r="M94" s="203">
        <f t="shared" si="11"/>
        <v>0</v>
      </c>
      <c r="N94" s="204">
        <f t="shared" si="10"/>
        <v>0</v>
      </c>
    </row>
    <row r="95" spans="2:14" x14ac:dyDescent="0.3">
      <c r="B95" s="196" t="s">
        <v>43</v>
      </c>
      <c r="C95" s="207"/>
      <c r="D95" s="202">
        <f t="shared" ref="D95:M95" si="12">D48*$C48</f>
        <v>0</v>
      </c>
      <c r="E95" s="202">
        <f t="shared" si="12"/>
        <v>0</v>
      </c>
      <c r="F95" s="202">
        <f t="shared" si="12"/>
        <v>0</v>
      </c>
      <c r="G95" s="202">
        <f t="shared" si="12"/>
        <v>0</v>
      </c>
      <c r="H95" s="202">
        <f t="shared" si="12"/>
        <v>0</v>
      </c>
      <c r="I95" s="202">
        <f t="shared" si="12"/>
        <v>0</v>
      </c>
      <c r="J95" s="202">
        <f t="shared" si="12"/>
        <v>0</v>
      </c>
      <c r="K95" s="202">
        <f t="shared" si="12"/>
        <v>0</v>
      </c>
      <c r="L95" s="202">
        <f t="shared" si="12"/>
        <v>0</v>
      </c>
      <c r="M95" s="203">
        <f t="shared" si="12"/>
        <v>0</v>
      </c>
      <c r="N95" s="204">
        <f t="shared" si="10"/>
        <v>0</v>
      </c>
    </row>
    <row r="96" spans="2:14" x14ac:dyDescent="0.3">
      <c r="B96" s="196" t="s">
        <v>45</v>
      </c>
      <c r="C96" s="207"/>
      <c r="D96" s="202">
        <f t="shared" ref="D96:M96" si="13">D49*$C49</f>
        <v>0</v>
      </c>
      <c r="E96" s="202">
        <f t="shared" si="13"/>
        <v>0</v>
      </c>
      <c r="F96" s="202">
        <f t="shared" si="13"/>
        <v>0</v>
      </c>
      <c r="G96" s="202">
        <f t="shared" si="13"/>
        <v>0</v>
      </c>
      <c r="H96" s="202">
        <f t="shared" si="13"/>
        <v>0</v>
      </c>
      <c r="I96" s="202">
        <f t="shared" si="13"/>
        <v>0</v>
      </c>
      <c r="J96" s="202">
        <f t="shared" si="13"/>
        <v>0</v>
      </c>
      <c r="K96" s="202">
        <f t="shared" si="13"/>
        <v>0</v>
      </c>
      <c r="L96" s="202">
        <f t="shared" si="13"/>
        <v>0</v>
      </c>
      <c r="M96" s="203">
        <f t="shared" si="13"/>
        <v>0</v>
      </c>
      <c r="N96" s="204">
        <f t="shared" si="10"/>
        <v>0</v>
      </c>
    </row>
    <row r="97" spans="2:15" x14ac:dyDescent="0.3">
      <c r="B97" s="196" t="s">
        <v>46</v>
      </c>
      <c r="C97" s="207"/>
      <c r="D97" s="202">
        <f t="shared" ref="D97:M97" si="14">D50*$C50</f>
        <v>0</v>
      </c>
      <c r="E97" s="202">
        <f t="shared" si="14"/>
        <v>0</v>
      </c>
      <c r="F97" s="202">
        <f t="shared" si="14"/>
        <v>0</v>
      </c>
      <c r="G97" s="202">
        <f t="shared" si="14"/>
        <v>0</v>
      </c>
      <c r="H97" s="202">
        <f t="shared" si="14"/>
        <v>0</v>
      </c>
      <c r="I97" s="202">
        <f t="shared" si="14"/>
        <v>0</v>
      </c>
      <c r="J97" s="202">
        <f t="shared" si="14"/>
        <v>0</v>
      </c>
      <c r="K97" s="202">
        <f t="shared" si="14"/>
        <v>0</v>
      </c>
      <c r="L97" s="202">
        <f t="shared" si="14"/>
        <v>0</v>
      </c>
      <c r="M97" s="203">
        <f t="shared" si="14"/>
        <v>0</v>
      </c>
      <c r="N97" s="204">
        <f t="shared" si="10"/>
        <v>0</v>
      </c>
    </row>
    <row r="98" spans="2:15" x14ac:dyDescent="0.3">
      <c r="B98" s="196" t="s">
        <v>216</v>
      </c>
      <c r="C98" s="207"/>
      <c r="D98" s="202">
        <f t="shared" ref="D98:M98" si="15">D51*$C51</f>
        <v>0</v>
      </c>
      <c r="E98" s="202">
        <f t="shared" si="15"/>
        <v>0</v>
      </c>
      <c r="F98" s="202">
        <f t="shared" si="15"/>
        <v>0</v>
      </c>
      <c r="G98" s="202">
        <f t="shared" si="15"/>
        <v>0</v>
      </c>
      <c r="H98" s="202">
        <f t="shared" si="15"/>
        <v>0</v>
      </c>
      <c r="I98" s="202">
        <f t="shared" si="15"/>
        <v>0</v>
      </c>
      <c r="J98" s="202">
        <f t="shared" si="15"/>
        <v>0</v>
      </c>
      <c r="K98" s="202">
        <f t="shared" si="15"/>
        <v>0</v>
      </c>
      <c r="L98" s="202">
        <f t="shared" si="15"/>
        <v>0</v>
      </c>
      <c r="M98" s="203">
        <f t="shared" si="15"/>
        <v>0</v>
      </c>
      <c r="N98" s="204">
        <f t="shared" si="10"/>
        <v>0</v>
      </c>
    </row>
    <row r="99" spans="2:15" x14ac:dyDescent="0.3">
      <c r="B99" s="196" t="s">
        <v>217</v>
      </c>
      <c r="C99" s="207"/>
      <c r="D99" s="202">
        <f t="shared" ref="D99:M99" si="16">D52*$C52</f>
        <v>0</v>
      </c>
      <c r="E99" s="202">
        <f t="shared" si="16"/>
        <v>0</v>
      </c>
      <c r="F99" s="202">
        <f t="shared" si="16"/>
        <v>0</v>
      </c>
      <c r="G99" s="202">
        <f t="shared" si="16"/>
        <v>0</v>
      </c>
      <c r="H99" s="202">
        <f t="shared" si="16"/>
        <v>0</v>
      </c>
      <c r="I99" s="202">
        <f t="shared" si="16"/>
        <v>0</v>
      </c>
      <c r="J99" s="202">
        <f t="shared" si="16"/>
        <v>0</v>
      </c>
      <c r="K99" s="202">
        <f t="shared" si="16"/>
        <v>0</v>
      </c>
      <c r="L99" s="202">
        <f t="shared" si="16"/>
        <v>0</v>
      </c>
      <c r="M99" s="203">
        <f t="shared" si="16"/>
        <v>0</v>
      </c>
      <c r="N99" s="204">
        <f t="shared" si="10"/>
        <v>0</v>
      </c>
    </row>
    <row r="100" spans="2:15" x14ac:dyDescent="0.3">
      <c r="B100" s="196" t="s">
        <v>218</v>
      </c>
      <c r="C100" s="207"/>
      <c r="D100" s="202">
        <f t="shared" ref="D100:M100" si="17">D53*$C53</f>
        <v>0</v>
      </c>
      <c r="E100" s="202">
        <f t="shared" si="17"/>
        <v>0</v>
      </c>
      <c r="F100" s="202">
        <f t="shared" si="17"/>
        <v>0</v>
      </c>
      <c r="G100" s="202">
        <f t="shared" si="17"/>
        <v>0</v>
      </c>
      <c r="H100" s="202">
        <f t="shared" si="17"/>
        <v>0</v>
      </c>
      <c r="I100" s="202">
        <f t="shared" si="17"/>
        <v>0</v>
      </c>
      <c r="J100" s="202">
        <f t="shared" si="17"/>
        <v>0</v>
      </c>
      <c r="K100" s="202">
        <f t="shared" si="17"/>
        <v>0</v>
      </c>
      <c r="L100" s="202">
        <f t="shared" si="17"/>
        <v>0</v>
      </c>
      <c r="M100" s="203">
        <f t="shared" si="17"/>
        <v>0</v>
      </c>
      <c r="N100" s="204">
        <f t="shared" si="10"/>
        <v>0</v>
      </c>
    </row>
    <row r="101" spans="2:15" x14ac:dyDescent="0.3">
      <c r="B101" s="196" t="s">
        <v>219</v>
      </c>
      <c r="C101" s="207"/>
      <c r="D101" s="202">
        <f t="shared" ref="D101:M101" si="18">D54*$C54</f>
        <v>0</v>
      </c>
      <c r="E101" s="202">
        <f t="shared" si="18"/>
        <v>0</v>
      </c>
      <c r="F101" s="202">
        <f t="shared" si="18"/>
        <v>0</v>
      </c>
      <c r="G101" s="202">
        <f t="shared" si="18"/>
        <v>0</v>
      </c>
      <c r="H101" s="202">
        <f t="shared" si="18"/>
        <v>0</v>
      </c>
      <c r="I101" s="202">
        <f t="shared" si="18"/>
        <v>0</v>
      </c>
      <c r="J101" s="202">
        <f t="shared" si="18"/>
        <v>0</v>
      </c>
      <c r="K101" s="202">
        <f t="shared" si="18"/>
        <v>0</v>
      </c>
      <c r="L101" s="202">
        <f t="shared" si="18"/>
        <v>0</v>
      </c>
      <c r="M101" s="203">
        <f t="shared" si="18"/>
        <v>0</v>
      </c>
      <c r="N101" s="204">
        <f t="shared" si="10"/>
        <v>0</v>
      </c>
    </row>
    <row r="102" spans="2:15" x14ac:dyDescent="0.3">
      <c r="B102" s="196" t="s">
        <v>220</v>
      </c>
      <c r="C102" s="207"/>
      <c r="D102" s="202">
        <f t="shared" ref="D102:M102" si="19">D55*$C55</f>
        <v>0</v>
      </c>
      <c r="E102" s="202">
        <f t="shared" si="19"/>
        <v>0</v>
      </c>
      <c r="F102" s="202">
        <f t="shared" si="19"/>
        <v>0</v>
      </c>
      <c r="G102" s="202">
        <f t="shared" si="19"/>
        <v>0</v>
      </c>
      <c r="H102" s="202">
        <f t="shared" si="19"/>
        <v>0</v>
      </c>
      <c r="I102" s="202">
        <f t="shared" si="19"/>
        <v>0</v>
      </c>
      <c r="J102" s="202">
        <f t="shared" si="19"/>
        <v>0</v>
      </c>
      <c r="K102" s="202">
        <f t="shared" si="19"/>
        <v>0</v>
      </c>
      <c r="L102" s="202">
        <f t="shared" si="19"/>
        <v>0</v>
      </c>
      <c r="M102" s="203">
        <f t="shared" si="19"/>
        <v>0</v>
      </c>
      <c r="N102" s="204">
        <f t="shared" si="10"/>
        <v>0</v>
      </c>
    </row>
    <row r="103" spans="2:15" x14ac:dyDescent="0.3">
      <c r="B103" s="197" t="s">
        <v>221</v>
      </c>
      <c r="C103" s="208"/>
      <c r="D103" s="202">
        <f t="shared" ref="D103:M103" si="20">D56*$C56</f>
        <v>0</v>
      </c>
      <c r="E103" s="202">
        <f t="shared" si="20"/>
        <v>0</v>
      </c>
      <c r="F103" s="202">
        <f t="shared" si="20"/>
        <v>0</v>
      </c>
      <c r="G103" s="202">
        <f t="shared" si="20"/>
        <v>0</v>
      </c>
      <c r="H103" s="202">
        <f t="shared" si="20"/>
        <v>0</v>
      </c>
      <c r="I103" s="202">
        <f t="shared" si="20"/>
        <v>0</v>
      </c>
      <c r="J103" s="202">
        <f t="shared" si="20"/>
        <v>0</v>
      </c>
      <c r="K103" s="202">
        <f t="shared" si="20"/>
        <v>0</v>
      </c>
      <c r="L103" s="202">
        <f t="shared" si="20"/>
        <v>0</v>
      </c>
      <c r="M103" s="203">
        <f t="shared" si="20"/>
        <v>0</v>
      </c>
      <c r="N103" s="204">
        <f t="shared" ref="N103" si="21">SUM(D103:M103)</f>
        <v>0</v>
      </c>
    </row>
    <row r="104" spans="2:15" x14ac:dyDescent="0.3">
      <c r="B104" s="194" t="s">
        <v>237</v>
      </c>
      <c r="C104" s="195"/>
      <c r="D104" s="277">
        <f t="shared" ref="D104:N104" si="22">SUM(D$91:D$103)</f>
        <v>0</v>
      </c>
      <c r="E104" s="278">
        <f t="shared" si="22"/>
        <v>0</v>
      </c>
      <c r="F104" s="278">
        <f t="shared" si="22"/>
        <v>0</v>
      </c>
      <c r="G104" s="278">
        <f t="shared" si="22"/>
        <v>0</v>
      </c>
      <c r="H104" s="278">
        <f t="shared" si="22"/>
        <v>0</v>
      </c>
      <c r="I104" s="278">
        <f t="shared" si="22"/>
        <v>0</v>
      </c>
      <c r="J104" s="278">
        <f t="shared" si="22"/>
        <v>0</v>
      </c>
      <c r="K104" s="278">
        <f t="shared" si="22"/>
        <v>0</v>
      </c>
      <c r="L104" s="278">
        <f t="shared" si="22"/>
        <v>0</v>
      </c>
      <c r="M104" s="278">
        <f t="shared" si="22"/>
        <v>0</v>
      </c>
      <c r="N104" s="253">
        <f t="shared" si="22"/>
        <v>0</v>
      </c>
      <c r="O104" s="198"/>
    </row>
    <row r="105" spans="2:15" x14ac:dyDescent="0.3">
      <c r="C105" s="239" t="s">
        <v>198</v>
      </c>
      <c r="D105" s="240">
        <f t="shared" ref="D105:I105" si="23">SUMPRODUCT($C$44:$C$56,D$44:D$56)-D104</f>
        <v>0</v>
      </c>
      <c r="E105" s="240">
        <f t="shared" si="23"/>
        <v>0</v>
      </c>
      <c r="F105" s="240">
        <f t="shared" si="23"/>
        <v>0</v>
      </c>
      <c r="G105" s="240">
        <f t="shared" si="23"/>
        <v>0</v>
      </c>
      <c r="H105" s="240">
        <f t="shared" si="23"/>
        <v>0</v>
      </c>
      <c r="I105" s="240">
        <f t="shared" si="23"/>
        <v>0</v>
      </c>
      <c r="J105" s="240">
        <f t="shared" ref="J105:M105" si="24">SUMPRODUCT($C$44:$C$56,J$44:J$56)-J104</f>
        <v>0</v>
      </c>
      <c r="K105" s="240">
        <f t="shared" si="24"/>
        <v>0</v>
      </c>
      <c r="L105" s="240">
        <f t="shared" si="24"/>
        <v>0</v>
      </c>
      <c r="M105" s="240">
        <f t="shared" si="24"/>
        <v>0</v>
      </c>
      <c r="N105" s="235">
        <f>SUM(D91:M103)-N104</f>
        <v>0</v>
      </c>
    </row>
    <row r="106" spans="2:15" ht="15.6" x14ac:dyDescent="0.3">
      <c r="B106" s="8" t="s">
        <v>228</v>
      </c>
      <c r="C106" s="11"/>
      <c r="D106" s="11"/>
      <c r="E106" s="11"/>
      <c r="F106" s="11"/>
      <c r="G106" s="11"/>
      <c r="H106" s="11"/>
      <c r="I106" s="11"/>
      <c r="J106" s="11"/>
      <c r="K106" s="11"/>
      <c r="L106" s="11"/>
      <c r="M106" s="11"/>
      <c r="N106" s="11"/>
    </row>
    <row r="107" spans="2:15" ht="7.05" customHeight="1" x14ac:dyDescent="0.3">
      <c r="B107" s="11"/>
      <c r="C107" s="11"/>
      <c r="D107" s="11"/>
      <c r="E107" s="11"/>
      <c r="F107" s="11"/>
      <c r="G107" s="11"/>
      <c r="H107" s="11"/>
      <c r="I107" s="11"/>
      <c r="J107" s="11"/>
      <c r="K107" s="11"/>
      <c r="L107" s="11"/>
      <c r="M107" s="11"/>
      <c r="N107" s="11"/>
    </row>
    <row r="108" spans="2:15" x14ac:dyDescent="0.3">
      <c r="B108" s="97" t="s">
        <v>64</v>
      </c>
      <c r="C108" s="205"/>
      <c r="D108" s="83" t="s">
        <v>56</v>
      </c>
      <c r="E108" s="83" t="s">
        <v>57</v>
      </c>
      <c r="F108" s="83" t="s">
        <v>58</v>
      </c>
      <c r="G108" s="83" t="s">
        <v>59</v>
      </c>
      <c r="H108" s="83" t="s">
        <v>60</v>
      </c>
      <c r="I108" s="83" t="s">
        <v>67</v>
      </c>
      <c r="J108" s="83" t="s">
        <v>62</v>
      </c>
      <c r="K108" s="83" t="s">
        <v>63</v>
      </c>
      <c r="L108" s="83" t="s">
        <v>272</v>
      </c>
      <c r="M108" s="84" t="s">
        <v>273</v>
      </c>
      <c r="N108" s="100" t="s">
        <v>1</v>
      </c>
    </row>
    <row r="109" spans="2:15" ht="15" thickBot="1" x14ac:dyDescent="0.35">
      <c r="B109" s="99" t="s">
        <v>280</v>
      </c>
      <c r="C109" s="206"/>
      <c r="D109" s="22"/>
      <c r="E109" s="23"/>
      <c r="F109" s="23"/>
      <c r="G109" s="23"/>
      <c r="H109" s="23"/>
      <c r="I109" s="23"/>
      <c r="J109" s="23"/>
      <c r="K109" s="23"/>
      <c r="L109" s="23"/>
      <c r="M109" s="98"/>
      <c r="N109" s="98"/>
    </row>
    <row r="110" spans="2:15" x14ac:dyDescent="0.3">
      <c r="B110" s="196" t="str">
        <f>B64</f>
        <v>Senior Developer</v>
      </c>
      <c r="C110" s="207"/>
      <c r="D110" s="250">
        <f t="shared" ref="D110:M110" si="25">D64*$C64</f>
        <v>0</v>
      </c>
      <c r="E110" s="250">
        <f t="shared" si="25"/>
        <v>0</v>
      </c>
      <c r="F110" s="250">
        <f t="shared" si="25"/>
        <v>0</v>
      </c>
      <c r="G110" s="250">
        <f t="shared" si="25"/>
        <v>0</v>
      </c>
      <c r="H110" s="250">
        <f t="shared" si="25"/>
        <v>0</v>
      </c>
      <c r="I110" s="250">
        <f t="shared" si="25"/>
        <v>0</v>
      </c>
      <c r="J110" s="250">
        <f t="shared" si="25"/>
        <v>0</v>
      </c>
      <c r="K110" s="250">
        <f t="shared" si="25"/>
        <v>0</v>
      </c>
      <c r="L110" s="250">
        <f t="shared" si="25"/>
        <v>0</v>
      </c>
      <c r="M110" s="251">
        <f t="shared" si="25"/>
        <v>0</v>
      </c>
      <c r="N110" s="252">
        <f>SUM(D110:M110)</f>
        <v>0</v>
      </c>
    </row>
    <row r="111" spans="2:15" x14ac:dyDescent="0.3">
      <c r="B111" s="196" t="str">
        <f>B65</f>
        <v>Junior Developer</v>
      </c>
      <c r="C111" s="207"/>
      <c r="D111" s="202">
        <f t="shared" ref="D111:M111" si="26">D65*$C65</f>
        <v>0</v>
      </c>
      <c r="E111" s="202">
        <f t="shared" si="26"/>
        <v>0</v>
      </c>
      <c r="F111" s="202">
        <f t="shared" si="26"/>
        <v>0</v>
      </c>
      <c r="G111" s="202">
        <f t="shared" si="26"/>
        <v>0</v>
      </c>
      <c r="H111" s="202">
        <f t="shared" si="26"/>
        <v>0</v>
      </c>
      <c r="I111" s="202">
        <f t="shared" si="26"/>
        <v>0</v>
      </c>
      <c r="J111" s="202">
        <f t="shared" si="26"/>
        <v>0</v>
      </c>
      <c r="K111" s="202">
        <f t="shared" si="26"/>
        <v>0</v>
      </c>
      <c r="L111" s="202">
        <f t="shared" si="26"/>
        <v>0</v>
      </c>
      <c r="M111" s="203">
        <f t="shared" si="26"/>
        <v>0</v>
      </c>
      <c r="N111" s="204">
        <f t="shared" ref="N111:N122" si="27">SUM(D111:M111)</f>
        <v>0</v>
      </c>
    </row>
    <row r="112" spans="2:15" x14ac:dyDescent="0.3">
      <c r="B112" s="196" t="str">
        <f>B66</f>
        <v>IT Personnel</v>
      </c>
      <c r="C112" s="207"/>
      <c r="D112" s="202">
        <f t="shared" ref="D112:M112" si="28">D66*$C66</f>
        <v>0</v>
      </c>
      <c r="E112" s="202">
        <f t="shared" si="28"/>
        <v>0</v>
      </c>
      <c r="F112" s="202">
        <f t="shared" si="28"/>
        <v>0</v>
      </c>
      <c r="G112" s="202">
        <f t="shared" si="28"/>
        <v>0</v>
      </c>
      <c r="H112" s="202">
        <f t="shared" si="28"/>
        <v>0</v>
      </c>
      <c r="I112" s="202">
        <f t="shared" si="28"/>
        <v>0</v>
      </c>
      <c r="J112" s="202">
        <f t="shared" si="28"/>
        <v>0</v>
      </c>
      <c r="K112" s="202">
        <f t="shared" si="28"/>
        <v>0</v>
      </c>
      <c r="L112" s="202">
        <f t="shared" si="28"/>
        <v>0</v>
      </c>
      <c r="M112" s="203">
        <f t="shared" si="28"/>
        <v>0</v>
      </c>
      <c r="N112" s="204">
        <f t="shared" si="27"/>
        <v>0</v>
      </c>
    </row>
    <row r="113" spans="2:15" x14ac:dyDescent="0.3">
      <c r="B113" s="196" t="s">
        <v>44</v>
      </c>
      <c r="C113" s="207"/>
      <c r="D113" s="202">
        <f t="shared" ref="D113:M113" si="29">D67*$C67</f>
        <v>0</v>
      </c>
      <c r="E113" s="202">
        <f t="shared" si="29"/>
        <v>0</v>
      </c>
      <c r="F113" s="202">
        <f t="shared" si="29"/>
        <v>0</v>
      </c>
      <c r="G113" s="202">
        <f t="shared" si="29"/>
        <v>0</v>
      </c>
      <c r="H113" s="202">
        <f t="shared" si="29"/>
        <v>0</v>
      </c>
      <c r="I113" s="202">
        <f t="shared" si="29"/>
        <v>0</v>
      </c>
      <c r="J113" s="202">
        <f t="shared" si="29"/>
        <v>0</v>
      </c>
      <c r="K113" s="202">
        <f t="shared" si="29"/>
        <v>0</v>
      </c>
      <c r="L113" s="202">
        <f t="shared" si="29"/>
        <v>0</v>
      </c>
      <c r="M113" s="203">
        <f t="shared" si="29"/>
        <v>0</v>
      </c>
      <c r="N113" s="204">
        <f t="shared" si="27"/>
        <v>0</v>
      </c>
    </row>
    <row r="114" spans="2:15" x14ac:dyDescent="0.3">
      <c r="B114" s="196" t="s">
        <v>43</v>
      </c>
      <c r="C114" s="207"/>
      <c r="D114" s="202">
        <f t="shared" ref="D114:M114" si="30">D68*$C68</f>
        <v>0</v>
      </c>
      <c r="E114" s="202">
        <f t="shared" si="30"/>
        <v>0</v>
      </c>
      <c r="F114" s="202">
        <f t="shared" si="30"/>
        <v>0</v>
      </c>
      <c r="G114" s="202">
        <f t="shared" si="30"/>
        <v>0</v>
      </c>
      <c r="H114" s="202">
        <f t="shared" si="30"/>
        <v>0</v>
      </c>
      <c r="I114" s="202">
        <f t="shared" si="30"/>
        <v>0</v>
      </c>
      <c r="J114" s="202">
        <f t="shared" si="30"/>
        <v>0</v>
      </c>
      <c r="K114" s="202">
        <f t="shared" si="30"/>
        <v>0</v>
      </c>
      <c r="L114" s="202">
        <f t="shared" si="30"/>
        <v>0</v>
      </c>
      <c r="M114" s="203">
        <f t="shared" si="30"/>
        <v>0</v>
      </c>
      <c r="N114" s="204">
        <f t="shared" si="27"/>
        <v>0</v>
      </c>
    </row>
    <row r="115" spans="2:15" x14ac:dyDescent="0.3">
      <c r="B115" s="196" t="s">
        <v>45</v>
      </c>
      <c r="C115" s="207"/>
      <c r="D115" s="202">
        <f t="shared" ref="D115:M115" si="31">D69*$C69</f>
        <v>0</v>
      </c>
      <c r="E115" s="202">
        <f t="shared" si="31"/>
        <v>0</v>
      </c>
      <c r="F115" s="202">
        <f t="shared" si="31"/>
        <v>0</v>
      </c>
      <c r="G115" s="202">
        <f t="shared" si="31"/>
        <v>0</v>
      </c>
      <c r="H115" s="202">
        <f t="shared" si="31"/>
        <v>0</v>
      </c>
      <c r="I115" s="202">
        <f t="shared" si="31"/>
        <v>0</v>
      </c>
      <c r="J115" s="202">
        <f t="shared" si="31"/>
        <v>0</v>
      </c>
      <c r="K115" s="202">
        <f t="shared" si="31"/>
        <v>0</v>
      </c>
      <c r="L115" s="202">
        <f t="shared" si="31"/>
        <v>0</v>
      </c>
      <c r="M115" s="203">
        <f t="shared" si="31"/>
        <v>0</v>
      </c>
      <c r="N115" s="204">
        <f t="shared" si="27"/>
        <v>0</v>
      </c>
    </row>
    <row r="116" spans="2:15" x14ac:dyDescent="0.3">
      <c r="B116" s="196" t="s">
        <v>46</v>
      </c>
      <c r="C116" s="207"/>
      <c r="D116" s="202">
        <f t="shared" ref="D116:M116" si="32">D70*$C70</f>
        <v>0</v>
      </c>
      <c r="E116" s="202">
        <f t="shared" si="32"/>
        <v>0</v>
      </c>
      <c r="F116" s="202">
        <f t="shared" si="32"/>
        <v>0</v>
      </c>
      <c r="G116" s="202">
        <f t="shared" si="32"/>
        <v>0</v>
      </c>
      <c r="H116" s="202">
        <f t="shared" si="32"/>
        <v>0</v>
      </c>
      <c r="I116" s="202">
        <f t="shared" si="32"/>
        <v>0</v>
      </c>
      <c r="J116" s="202">
        <f t="shared" si="32"/>
        <v>0</v>
      </c>
      <c r="K116" s="202">
        <f t="shared" si="32"/>
        <v>0</v>
      </c>
      <c r="L116" s="202">
        <f t="shared" si="32"/>
        <v>0</v>
      </c>
      <c r="M116" s="203">
        <f t="shared" si="32"/>
        <v>0</v>
      </c>
      <c r="N116" s="204">
        <f t="shared" si="27"/>
        <v>0</v>
      </c>
    </row>
    <row r="117" spans="2:15" x14ac:dyDescent="0.3">
      <c r="B117" s="196" t="s">
        <v>216</v>
      </c>
      <c r="C117" s="207"/>
      <c r="D117" s="202">
        <f t="shared" ref="D117:M117" si="33">D71*$C71</f>
        <v>0</v>
      </c>
      <c r="E117" s="202">
        <f t="shared" si="33"/>
        <v>0</v>
      </c>
      <c r="F117" s="202">
        <f t="shared" si="33"/>
        <v>0</v>
      </c>
      <c r="G117" s="202">
        <f t="shared" si="33"/>
        <v>0</v>
      </c>
      <c r="H117" s="202">
        <f t="shared" si="33"/>
        <v>0</v>
      </c>
      <c r="I117" s="202">
        <f t="shared" si="33"/>
        <v>0</v>
      </c>
      <c r="J117" s="202">
        <f t="shared" si="33"/>
        <v>0</v>
      </c>
      <c r="K117" s="202">
        <f t="shared" si="33"/>
        <v>0</v>
      </c>
      <c r="L117" s="202">
        <f t="shared" si="33"/>
        <v>0</v>
      </c>
      <c r="M117" s="203">
        <f t="shared" si="33"/>
        <v>0</v>
      </c>
      <c r="N117" s="204">
        <f t="shared" si="27"/>
        <v>0</v>
      </c>
    </row>
    <row r="118" spans="2:15" x14ac:dyDescent="0.3">
      <c r="B118" s="196" t="s">
        <v>217</v>
      </c>
      <c r="C118" s="207"/>
      <c r="D118" s="202">
        <f t="shared" ref="D118:M118" si="34">D72*$C72</f>
        <v>0</v>
      </c>
      <c r="E118" s="202">
        <f t="shared" si="34"/>
        <v>0</v>
      </c>
      <c r="F118" s="202">
        <f t="shared" si="34"/>
        <v>0</v>
      </c>
      <c r="G118" s="202">
        <f t="shared" si="34"/>
        <v>0</v>
      </c>
      <c r="H118" s="202">
        <f t="shared" si="34"/>
        <v>0</v>
      </c>
      <c r="I118" s="202">
        <f t="shared" si="34"/>
        <v>0</v>
      </c>
      <c r="J118" s="202">
        <f t="shared" si="34"/>
        <v>0</v>
      </c>
      <c r="K118" s="202">
        <f t="shared" si="34"/>
        <v>0</v>
      </c>
      <c r="L118" s="202">
        <f t="shared" si="34"/>
        <v>0</v>
      </c>
      <c r="M118" s="203">
        <f t="shared" si="34"/>
        <v>0</v>
      </c>
      <c r="N118" s="204">
        <f t="shared" si="27"/>
        <v>0</v>
      </c>
    </row>
    <row r="119" spans="2:15" x14ac:dyDescent="0.3">
      <c r="B119" s="196" t="s">
        <v>218</v>
      </c>
      <c r="C119" s="207"/>
      <c r="D119" s="202">
        <f t="shared" ref="D119:M119" si="35">D73*$C73</f>
        <v>0</v>
      </c>
      <c r="E119" s="202">
        <f t="shared" si="35"/>
        <v>0</v>
      </c>
      <c r="F119" s="202">
        <f t="shared" si="35"/>
        <v>0</v>
      </c>
      <c r="G119" s="202">
        <f t="shared" si="35"/>
        <v>0</v>
      </c>
      <c r="H119" s="202">
        <f t="shared" si="35"/>
        <v>0</v>
      </c>
      <c r="I119" s="202">
        <f t="shared" si="35"/>
        <v>0</v>
      </c>
      <c r="J119" s="202">
        <f t="shared" si="35"/>
        <v>0</v>
      </c>
      <c r="K119" s="202">
        <f t="shared" si="35"/>
        <v>0</v>
      </c>
      <c r="L119" s="202">
        <f t="shared" si="35"/>
        <v>0</v>
      </c>
      <c r="M119" s="203">
        <f t="shared" si="35"/>
        <v>0</v>
      </c>
      <c r="N119" s="204">
        <f t="shared" si="27"/>
        <v>0</v>
      </c>
    </row>
    <row r="120" spans="2:15" x14ac:dyDescent="0.3">
      <c r="B120" s="196" t="s">
        <v>219</v>
      </c>
      <c r="C120" s="207"/>
      <c r="D120" s="202">
        <f t="shared" ref="D120:M120" si="36">D74*$C74</f>
        <v>0</v>
      </c>
      <c r="E120" s="202">
        <f t="shared" si="36"/>
        <v>0</v>
      </c>
      <c r="F120" s="202">
        <f t="shared" si="36"/>
        <v>0</v>
      </c>
      <c r="G120" s="202">
        <f t="shared" si="36"/>
        <v>0</v>
      </c>
      <c r="H120" s="202">
        <f t="shared" si="36"/>
        <v>0</v>
      </c>
      <c r="I120" s="202">
        <f t="shared" si="36"/>
        <v>0</v>
      </c>
      <c r="J120" s="202">
        <f t="shared" si="36"/>
        <v>0</v>
      </c>
      <c r="K120" s="202">
        <f t="shared" si="36"/>
        <v>0</v>
      </c>
      <c r="L120" s="202">
        <f t="shared" si="36"/>
        <v>0</v>
      </c>
      <c r="M120" s="203">
        <f t="shared" si="36"/>
        <v>0</v>
      </c>
      <c r="N120" s="204">
        <f t="shared" si="27"/>
        <v>0</v>
      </c>
    </row>
    <row r="121" spans="2:15" x14ac:dyDescent="0.3">
      <c r="B121" s="196" t="s">
        <v>220</v>
      </c>
      <c r="C121" s="207"/>
      <c r="D121" s="202">
        <f t="shared" ref="D121:M121" si="37">D75*$C75</f>
        <v>0</v>
      </c>
      <c r="E121" s="202">
        <f t="shared" si="37"/>
        <v>0</v>
      </c>
      <c r="F121" s="202">
        <f t="shared" si="37"/>
        <v>0</v>
      </c>
      <c r="G121" s="202">
        <f t="shared" si="37"/>
        <v>0</v>
      </c>
      <c r="H121" s="202">
        <f t="shared" si="37"/>
        <v>0</v>
      </c>
      <c r="I121" s="202">
        <f t="shared" si="37"/>
        <v>0</v>
      </c>
      <c r="J121" s="202">
        <f t="shared" si="37"/>
        <v>0</v>
      </c>
      <c r="K121" s="202">
        <f t="shared" si="37"/>
        <v>0</v>
      </c>
      <c r="L121" s="202">
        <f t="shared" si="37"/>
        <v>0</v>
      </c>
      <c r="M121" s="203">
        <f t="shared" si="37"/>
        <v>0</v>
      </c>
      <c r="N121" s="204">
        <f t="shared" si="27"/>
        <v>0</v>
      </c>
    </row>
    <row r="122" spans="2:15" x14ac:dyDescent="0.3">
      <c r="B122" s="197" t="s">
        <v>221</v>
      </c>
      <c r="C122" s="208"/>
      <c r="D122" s="202">
        <f t="shared" ref="D122:M122" si="38">D76*$C76</f>
        <v>0</v>
      </c>
      <c r="E122" s="202">
        <f t="shared" si="38"/>
        <v>0</v>
      </c>
      <c r="F122" s="202">
        <f t="shared" si="38"/>
        <v>0</v>
      </c>
      <c r="G122" s="202">
        <f t="shared" si="38"/>
        <v>0</v>
      </c>
      <c r="H122" s="202">
        <f t="shared" si="38"/>
        <v>0</v>
      </c>
      <c r="I122" s="202">
        <f t="shared" si="38"/>
        <v>0</v>
      </c>
      <c r="J122" s="202">
        <f t="shared" si="38"/>
        <v>0</v>
      </c>
      <c r="K122" s="202">
        <f t="shared" si="38"/>
        <v>0</v>
      </c>
      <c r="L122" s="202">
        <f t="shared" si="38"/>
        <v>0</v>
      </c>
      <c r="M122" s="203">
        <f t="shared" si="38"/>
        <v>0</v>
      </c>
      <c r="N122" s="204">
        <f t="shared" si="27"/>
        <v>0</v>
      </c>
    </row>
    <row r="123" spans="2:15" x14ac:dyDescent="0.3">
      <c r="B123" s="194" t="s">
        <v>238</v>
      </c>
      <c r="C123" s="195"/>
      <c r="D123" s="277">
        <f t="shared" ref="D123:N123" si="39">SUM(D$110:D$122)</f>
        <v>0</v>
      </c>
      <c r="E123" s="278">
        <f t="shared" si="39"/>
        <v>0</v>
      </c>
      <c r="F123" s="278">
        <f t="shared" si="39"/>
        <v>0</v>
      </c>
      <c r="G123" s="278">
        <f t="shared" si="39"/>
        <v>0</v>
      </c>
      <c r="H123" s="278">
        <f t="shared" si="39"/>
        <v>0</v>
      </c>
      <c r="I123" s="278">
        <f t="shared" si="39"/>
        <v>0</v>
      </c>
      <c r="J123" s="278">
        <f t="shared" si="39"/>
        <v>0</v>
      </c>
      <c r="K123" s="278">
        <f t="shared" si="39"/>
        <v>0</v>
      </c>
      <c r="L123" s="278">
        <f t="shared" si="39"/>
        <v>0</v>
      </c>
      <c r="M123" s="278">
        <f t="shared" si="39"/>
        <v>0</v>
      </c>
      <c r="N123" s="253">
        <f t="shared" si="39"/>
        <v>0</v>
      </c>
      <c r="O123" s="198"/>
    </row>
    <row r="124" spans="2:15" x14ac:dyDescent="0.3">
      <c r="C124" s="239" t="s">
        <v>198</v>
      </c>
      <c r="D124" s="240">
        <f t="shared" ref="D124:I124" si="40">SUMPRODUCT($C$64:$C$76,D$64:D$76)-D123</f>
        <v>0</v>
      </c>
      <c r="E124" s="240">
        <f t="shared" si="40"/>
        <v>0</v>
      </c>
      <c r="F124" s="240">
        <f t="shared" si="40"/>
        <v>0</v>
      </c>
      <c r="G124" s="240">
        <f t="shared" si="40"/>
        <v>0</v>
      </c>
      <c r="H124" s="240">
        <f t="shared" si="40"/>
        <v>0</v>
      </c>
      <c r="I124" s="240">
        <f t="shared" si="40"/>
        <v>0</v>
      </c>
      <c r="J124" s="240">
        <f t="shared" ref="J124:M124" si="41">SUMPRODUCT($C$64:$C$76,J$64:J$76)-J123</f>
        <v>0</v>
      </c>
      <c r="K124" s="240">
        <f t="shared" si="41"/>
        <v>0</v>
      </c>
      <c r="L124" s="240">
        <f t="shared" si="41"/>
        <v>0</v>
      </c>
      <c r="M124" s="240">
        <f t="shared" si="41"/>
        <v>0</v>
      </c>
      <c r="N124" s="235">
        <f>SUM(D110:M122)-N123</f>
        <v>0</v>
      </c>
    </row>
    <row r="125" spans="2:15" ht="15.6" x14ac:dyDescent="0.3">
      <c r="B125" s="8" t="s">
        <v>242</v>
      </c>
      <c r="C125" s="11"/>
      <c r="D125" s="11"/>
      <c r="E125" s="11"/>
      <c r="F125" s="11"/>
      <c r="G125" s="11"/>
      <c r="H125" s="11"/>
      <c r="I125" s="11"/>
      <c r="J125" s="11"/>
      <c r="K125" s="11"/>
      <c r="L125" s="11"/>
      <c r="M125" s="11"/>
      <c r="N125" s="11"/>
    </row>
    <row r="126" spans="2:15" ht="7.05" customHeight="1" x14ac:dyDescent="0.3">
      <c r="B126" s="11"/>
      <c r="C126" s="11"/>
      <c r="D126" s="11"/>
      <c r="E126" s="11"/>
      <c r="F126" s="11"/>
      <c r="G126" s="11"/>
      <c r="H126" s="11"/>
      <c r="I126" s="11"/>
      <c r="J126" s="11"/>
      <c r="K126" s="11"/>
      <c r="L126" s="11"/>
      <c r="M126" s="11"/>
      <c r="N126" s="11"/>
    </row>
    <row r="127" spans="2:15" x14ac:dyDescent="0.3">
      <c r="B127" s="97" t="s">
        <v>64</v>
      </c>
      <c r="C127" s="205"/>
      <c r="D127" s="83" t="s">
        <v>56</v>
      </c>
      <c r="E127" s="83" t="s">
        <v>57</v>
      </c>
      <c r="F127" s="83" t="s">
        <v>58</v>
      </c>
      <c r="G127" s="83" t="s">
        <v>59</v>
      </c>
      <c r="H127" s="83" t="s">
        <v>60</v>
      </c>
      <c r="I127" s="83" t="s">
        <v>61</v>
      </c>
      <c r="J127" s="83" t="s">
        <v>62</v>
      </c>
      <c r="K127" s="83" t="s">
        <v>63</v>
      </c>
      <c r="L127" s="83" t="s">
        <v>272</v>
      </c>
      <c r="M127" s="84" t="s">
        <v>273</v>
      </c>
      <c r="N127" s="100" t="s">
        <v>1</v>
      </c>
    </row>
    <row r="128" spans="2:15" ht="15" thickBot="1" x14ac:dyDescent="0.35">
      <c r="B128" s="99" t="s">
        <v>280</v>
      </c>
      <c r="C128" s="206"/>
      <c r="D128" s="22"/>
      <c r="E128" s="23"/>
      <c r="F128" s="23"/>
      <c r="G128" s="23"/>
      <c r="H128" s="23"/>
      <c r="I128" s="23"/>
      <c r="J128" s="23"/>
      <c r="K128" s="23"/>
      <c r="L128" s="23"/>
      <c r="M128" s="98"/>
      <c r="N128" s="98"/>
    </row>
    <row r="129" spans="2:15" x14ac:dyDescent="0.3">
      <c r="B129" s="447" t="s">
        <v>234</v>
      </c>
      <c r="C129" s="288"/>
      <c r="D129" s="518">
        <f>D$104</f>
        <v>0</v>
      </c>
      <c r="E129" s="518">
        <f t="shared" ref="E129:M129" si="42">E$104</f>
        <v>0</v>
      </c>
      <c r="F129" s="518">
        <f t="shared" si="42"/>
        <v>0</v>
      </c>
      <c r="G129" s="518">
        <f t="shared" si="42"/>
        <v>0</v>
      </c>
      <c r="H129" s="518">
        <f t="shared" si="42"/>
        <v>0</v>
      </c>
      <c r="I129" s="518">
        <f t="shared" si="42"/>
        <v>0</v>
      </c>
      <c r="J129" s="518">
        <f t="shared" si="42"/>
        <v>0</v>
      </c>
      <c r="K129" s="518">
        <f t="shared" si="42"/>
        <v>0</v>
      </c>
      <c r="L129" s="518">
        <f t="shared" si="42"/>
        <v>0</v>
      </c>
      <c r="M129" s="519">
        <f t="shared" si="42"/>
        <v>0</v>
      </c>
      <c r="N129" s="252">
        <f>SUM(D129:M129)</f>
        <v>0</v>
      </c>
    </row>
    <row r="130" spans="2:15" x14ac:dyDescent="0.3">
      <c r="B130" s="448" t="s">
        <v>235</v>
      </c>
      <c r="C130" s="289"/>
      <c r="D130" s="520">
        <f>D$123</f>
        <v>0</v>
      </c>
      <c r="E130" s="520">
        <f t="shared" ref="E130:M130" si="43">E$123</f>
        <v>0</v>
      </c>
      <c r="F130" s="520">
        <f t="shared" si="43"/>
        <v>0</v>
      </c>
      <c r="G130" s="520">
        <f t="shared" si="43"/>
        <v>0</v>
      </c>
      <c r="H130" s="520">
        <f t="shared" si="43"/>
        <v>0</v>
      </c>
      <c r="I130" s="520">
        <f t="shared" si="43"/>
        <v>0</v>
      </c>
      <c r="J130" s="520">
        <f t="shared" si="43"/>
        <v>0</v>
      </c>
      <c r="K130" s="520">
        <f t="shared" si="43"/>
        <v>0</v>
      </c>
      <c r="L130" s="520">
        <f t="shared" si="43"/>
        <v>0</v>
      </c>
      <c r="M130" s="521">
        <f t="shared" si="43"/>
        <v>0</v>
      </c>
      <c r="N130" s="204">
        <f t="shared" ref="N130" si="44">SUM(D130:M130)</f>
        <v>0</v>
      </c>
    </row>
    <row r="131" spans="2:15" x14ac:dyDescent="0.3">
      <c r="B131" s="275" t="s">
        <v>239</v>
      </c>
      <c r="C131" s="276"/>
      <c r="D131" s="277">
        <f>SUM(D$129:D$130)</f>
        <v>0</v>
      </c>
      <c r="E131" s="278">
        <f t="shared" ref="E131:N131" si="45">SUM(E$129:E$130)</f>
        <v>0</v>
      </c>
      <c r="F131" s="278">
        <f t="shared" si="45"/>
        <v>0</v>
      </c>
      <c r="G131" s="278">
        <f t="shared" si="45"/>
        <v>0</v>
      </c>
      <c r="H131" s="278">
        <f t="shared" si="45"/>
        <v>0</v>
      </c>
      <c r="I131" s="278">
        <f t="shared" si="45"/>
        <v>0</v>
      </c>
      <c r="J131" s="278">
        <f t="shared" si="45"/>
        <v>0</v>
      </c>
      <c r="K131" s="278">
        <f t="shared" si="45"/>
        <v>0</v>
      </c>
      <c r="L131" s="278">
        <f t="shared" si="45"/>
        <v>0</v>
      </c>
      <c r="M131" s="338">
        <f t="shared" si="45"/>
        <v>0</v>
      </c>
      <c r="N131" s="338">
        <f t="shared" si="45"/>
        <v>0</v>
      </c>
      <c r="O131" s="198"/>
    </row>
    <row r="132" spans="2:15" x14ac:dyDescent="0.3">
      <c r="C132" s="239" t="s">
        <v>198</v>
      </c>
      <c r="D132" s="240">
        <f t="shared" ref="D132:M132" si="46">D131-D123-D104</f>
        <v>0</v>
      </c>
      <c r="E132" s="240">
        <f t="shared" si="46"/>
        <v>0</v>
      </c>
      <c r="F132" s="240">
        <f t="shared" si="46"/>
        <v>0</v>
      </c>
      <c r="G132" s="240">
        <f t="shared" si="46"/>
        <v>0</v>
      </c>
      <c r="H132" s="240">
        <f t="shared" si="46"/>
        <v>0</v>
      </c>
      <c r="I132" s="240">
        <f t="shared" si="46"/>
        <v>0</v>
      </c>
      <c r="J132" s="240">
        <f t="shared" si="46"/>
        <v>0</v>
      </c>
      <c r="K132" s="240">
        <f t="shared" si="46"/>
        <v>0</v>
      </c>
      <c r="L132" s="240">
        <f t="shared" si="46"/>
        <v>0</v>
      </c>
      <c r="M132" s="240">
        <f t="shared" si="46"/>
        <v>0</v>
      </c>
      <c r="N132" s="235">
        <f>SUM(D129:M130)-N131</f>
        <v>0</v>
      </c>
    </row>
  </sheetData>
  <sheetProtection algorithmName="SHA-512" hashValue="+6JcJzoHODvUxgLSWbnYbb/s62EHzFCrbcNF5Si5nUIb0zjeAsYJNufneWEY2GB9OWUi2uuSaF6aLMrwoXuSjA==" saltValue="49cea2eOtTrwKDgtRkQzvg==" spinCount="100000" sheet="1" objects="1" scenarios="1" formatCells="0" formatColumns="0" formatRows="0" insertColumns="0" insertRows="0" deleteColumns="0" deleteRows="0"/>
  <protectedRanges>
    <protectedRange sqref="B31:C35 B42:P140" name="FTEs"/>
  </protectedRanges>
  <dataValidations disablePrompts="1" count="1">
    <dataValidation type="list" allowBlank="1" showInputMessage="1" showErrorMessage="1" sqref="C37">
      <formula1>$B$32:$B$34</formula1>
    </dataValidation>
  </dataValidations>
  <pageMargins left="0.25" right="0.25" top="0.75" bottom="0.75" header="0.3" footer="0.3"/>
  <pageSetup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28"/>
  <sheetViews>
    <sheetView showGridLines="0" zoomScale="75" zoomScaleNormal="75" workbookViewId="0">
      <pane ySplit="2" topLeftCell="A3" activePane="bottomLeft" state="frozen"/>
      <selection activeCell="B7" sqref="B7"/>
      <selection pane="bottomLeft" activeCell="A3" sqref="A3"/>
    </sheetView>
  </sheetViews>
  <sheetFormatPr defaultRowHeight="14.4" outlineLevelRow="1" x14ac:dyDescent="0.3"/>
  <cols>
    <col min="1" max="1" width="4.44140625" customWidth="1"/>
    <col min="2" max="2" width="25.6640625" customWidth="1"/>
    <col min="3" max="3" width="38.44140625" customWidth="1"/>
    <col min="4" max="4" width="76.44140625" customWidth="1"/>
    <col min="5" max="5" width="21.77734375" customWidth="1"/>
    <col min="6" max="6" width="28.21875" bestFit="1" customWidth="1"/>
    <col min="7" max="7" width="13.21875" customWidth="1"/>
    <col min="8" max="8" width="13.21875" bestFit="1" customWidth="1"/>
    <col min="9" max="9" width="13" bestFit="1" customWidth="1"/>
    <col min="10" max="10" width="41.21875" customWidth="1"/>
    <col min="11" max="11" width="16.21875" customWidth="1"/>
    <col min="12" max="12" width="21.44140625" customWidth="1"/>
    <col min="13" max="13" width="19.77734375" customWidth="1"/>
    <col min="14" max="14" width="17.77734375" customWidth="1"/>
    <col min="15" max="15" width="16.21875" customWidth="1"/>
    <col min="16" max="16" width="15.21875" customWidth="1"/>
  </cols>
  <sheetData>
    <row r="1" spans="1:16" ht="15.45" x14ac:dyDescent="0.35">
      <c r="B1" s="348"/>
      <c r="C1" s="16"/>
      <c r="E1" s="16"/>
    </row>
    <row r="2" spans="1:16" ht="15.45" x14ac:dyDescent="0.35">
      <c r="A2" s="11"/>
      <c r="B2" s="16" t="str">
        <f>"Historical estimation of development cost for "&amp;'Inputs--&gt;'!$C$7&amp;" through a modified code-based estimation (COCOMO-based)"</f>
        <v>Historical estimation of development cost for [ sample GG ] through a modified code-based estimation (COCOMO-based)</v>
      </c>
      <c r="C2" s="16"/>
      <c r="D2" s="11"/>
      <c r="E2" s="11"/>
      <c r="K2" s="11"/>
      <c r="L2" s="11"/>
      <c r="M2" s="11"/>
      <c r="N2" s="11"/>
      <c r="O2" s="11"/>
      <c r="P2" s="11"/>
    </row>
    <row r="3" spans="1:16" ht="14.55" x14ac:dyDescent="0.35">
      <c r="A3" s="11"/>
      <c r="B3" s="138" t="str">
        <f>"As of "&amp;TEXT('Inputs--&gt;'!$C$8,"MMMMMM yyyy")</f>
        <v>As of May 2019</v>
      </c>
      <c r="C3" s="138"/>
      <c r="D3" s="11"/>
      <c r="E3" s="11"/>
      <c r="K3" s="11"/>
      <c r="L3" s="11"/>
      <c r="M3" s="11"/>
      <c r="N3" s="11"/>
      <c r="O3" s="11"/>
      <c r="P3" s="11"/>
    </row>
    <row r="4" spans="1:16" ht="15.45" x14ac:dyDescent="0.35">
      <c r="A4" s="11"/>
      <c r="B4" s="26"/>
      <c r="C4" s="26"/>
      <c r="D4" s="11"/>
      <c r="E4" s="11"/>
      <c r="K4" s="11"/>
      <c r="L4" s="11"/>
      <c r="M4" s="11"/>
      <c r="N4" s="11"/>
      <c r="O4" s="11"/>
      <c r="P4" s="11"/>
    </row>
    <row r="5" spans="1:16" ht="14.55" x14ac:dyDescent="0.35">
      <c r="A5" s="11"/>
      <c r="B5" s="13" t="s">
        <v>49</v>
      </c>
      <c r="C5" s="11"/>
      <c r="D5" s="11"/>
      <c r="E5" s="11"/>
      <c r="L5" s="11"/>
      <c r="M5" s="11"/>
      <c r="N5" s="11"/>
      <c r="O5" s="11"/>
      <c r="P5" s="11"/>
    </row>
    <row r="6" spans="1:16" x14ac:dyDescent="0.3">
      <c r="A6" s="11"/>
      <c r="B6" s="295" t="s">
        <v>547</v>
      </c>
      <c r="C6" s="11"/>
      <c r="D6" s="11"/>
      <c r="E6" s="11"/>
      <c r="L6" s="11"/>
      <c r="M6" s="11"/>
      <c r="N6" s="11"/>
      <c r="O6" s="11"/>
      <c r="P6" s="11"/>
    </row>
    <row r="7" spans="1:16" ht="14.55" x14ac:dyDescent="0.35">
      <c r="A7" s="11"/>
      <c r="B7" t="s">
        <v>548</v>
      </c>
      <c r="C7" s="11"/>
      <c r="D7" s="11"/>
      <c r="E7" s="11"/>
      <c r="L7" s="11"/>
      <c r="M7" s="11"/>
      <c r="N7" s="11"/>
      <c r="O7" s="11"/>
      <c r="P7" s="11"/>
    </row>
    <row r="8" spans="1:16" ht="14.55" x14ac:dyDescent="0.35">
      <c r="B8" s="295" t="s">
        <v>545</v>
      </c>
      <c r="C8" s="11"/>
      <c r="F8" s="11"/>
      <c r="L8" s="11"/>
      <c r="M8" s="11"/>
      <c r="N8" s="11"/>
      <c r="O8" s="11"/>
      <c r="P8" s="11"/>
    </row>
    <row r="9" spans="1:16" ht="14.55" x14ac:dyDescent="0.35">
      <c r="A9" s="11"/>
      <c r="B9" s="295" t="s">
        <v>546</v>
      </c>
      <c r="C9" s="11"/>
      <c r="F9" s="11"/>
      <c r="L9" s="11"/>
      <c r="M9" s="11"/>
      <c r="N9" s="11"/>
      <c r="O9" s="11"/>
      <c r="P9" s="11"/>
    </row>
    <row r="10" spans="1:16" ht="14.55" x14ac:dyDescent="0.35">
      <c r="A10" s="11"/>
      <c r="B10" s="295"/>
      <c r="C10" s="11"/>
      <c r="F10" s="11"/>
      <c r="L10" s="11"/>
      <c r="M10" s="11"/>
      <c r="N10" s="11"/>
      <c r="O10" s="11"/>
      <c r="P10" s="11"/>
    </row>
    <row r="11" spans="1:16" ht="14.55" x14ac:dyDescent="0.35">
      <c r="A11" s="11"/>
      <c r="B11" s="13" t="s">
        <v>253</v>
      </c>
      <c r="C11" s="13"/>
      <c r="D11" s="11"/>
      <c r="E11" s="11"/>
      <c r="F11" s="11"/>
      <c r="G11" s="11"/>
      <c r="H11" s="11"/>
      <c r="J11" s="11"/>
      <c r="K11" s="11"/>
      <c r="L11" s="11"/>
      <c r="M11" s="11"/>
      <c r="N11" s="11"/>
      <c r="O11" s="11"/>
      <c r="P11" s="11"/>
    </row>
    <row r="12" spans="1:16" x14ac:dyDescent="0.3">
      <c r="A12" s="11"/>
      <c r="B12" s="192" t="s">
        <v>537</v>
      </c>
      <c r="C12" s="11"/>
      <c r="D12" s="11"/>
      <c r="E12" s="11"/>
      <c r="F12" s="11"/>
      <c r="G12" s="11"/>
      <c r="H12" s="11"/>
      <c r="J12" s="11"/>
      <c r="K12" s="11"/>
      <c r="L12" s="11"/>
      <c r="M12" s="11"/>
      <c r="N12" s="11"/>
      <c r="O12" s="11"/>
      <c r="P12" s="11"/>
    </row>
    <row r="13" spans="1:16" x14ac:dyDescent="0.3">
      <c r="A13" s="11"/>
      <c r="B13" s="192" t="s">
        <v>538</v>
      </c>
      <c r="C13" s="11"/>
      <c r="D13" s="11"/>
      <c r="E13" s="11"/>
      <c r="F13" s="11"/>
      <c r="G13" s="11"/>
      <c r="H13" s="11"/>
      <c r="J13" s="11"/>
      <c r="K13" s="11"/>
      <c r="L13" s="11"/>
      <c r="M13" s="11"/>
      <c r="N13" s="11"/>
      <c r="O13" s="11"/>
      <c r="P13" s="11"/>
    </row>
    <row r="14" spans="1:16" x14ac:dyDescent="0.3">
      <c r="A14" s="11"/>
      <c r="B14" s="192" t="s">
        <v>549</v>
      </c>
      <c r="C14" s="51"/>
      <c r="D14" s="11"/>
      <c r="E14" s="11"/>
      <c r="F14" s="11"/>
      <c r="G14" s="11"/>
      <c r="H14" s="11"/>
      <c r="J14" s="11"/>
      <c r="K14" s="11"/>
      <c r="L14" s="11"/>
      <c r="M14" s="11"/>
      <c r="N14" s="11"/>
      <c r="O14" s="11"/>
      <c r="P14" s="11"/>
    </row>
    <row r="15" spans="1:16" ht="14.55" x14ac:dyDescent="0.35">
      <c r="A15" s="11"/>
      <c r="B15" s="451" t="s">
        <v>550</v>
      </c>
      <c r="C15" s="51"/>
      <c r="D15" s="11"/>
      <c r="E15" s="11"/>
      <c r="F15" s="11"/>
      <c r="G15" s="11"/>
      <c r="H15" s="11"/>
      <c r="J15" s="11"/>
      <c r="K15" s="11"/>
      <c r="L15" s="11"/>
      <c r="M15" s="11"/>
      <c r="N15" s="11"/>
      <c r="O15" s="11"/>
      <c r="P15" s="11"/>
    </row>
    <row r="16" spans="1:16" x14ac:dyDescent="0.3">
      <c r="A16" s="11"/>
      <c r="B16" s="192" t="s">
        <v>539</v>
      </c>
      <c r="C16" s="51"/>
      <c r="D16" s="11"/>
      <c r="E16" s="11"/>
      <c r="F16" s="11"/>
      <c r="G16" s="11"/>
      <c r="H16" s="11"/>
      <c r="J16" s="11"/>
      <c r="K16" s="11"/>
      <c r="L16" s="11"/>
      <c r="M16" s="11"/>
      <c r="N16" s="11"/>
      <c r="O16" s="11"/>
      <c r="P16" s="11"/>
    </row>
    <row r="17" spans="1:16" ht="14.55" x14ac:dyDescent="0.35">
      <c r="A17" s="11"/>
      <c r="B17" s="451" t="s">
        <v>477</v>
      </c>
      <c r="C17" s="11"/>
      <c r="D17" s="11"/>
      <c r="E17" s="11"/>
      <c r="F17" s="11"/>
      <c r="G17" s="11"/>
      <c r="H17" s="11"/>
      <c r="J17" s="11"/>
      <c r="K17" s="11"/>
      <c r="L17" s="11"/>
      <c r="M17" s="11"/>
      <c r="N17" s="11"/>
      <c r="O17" s="11"/>
      <c r="P17" s="11"/>
    </row>
    <row r="18" spans="1:16" ht="14.55" x14ac:dyDescent="0.35">
      <c r="A18" s="11"/>
      <c r="B18" s="451" t="s">
        <v>540</v>
      </c>
      <c r="C18" s="11"/>
      <c r="D18" s="11"/>
      <c r="E18" s="11"/>
      <c r="F18" s="11"/>
      <c r="G18" s="11"/>
      <c r="H18" s="11"/>
      <c r="J18" s="11"/>
      <c r="K18" s="11"/>
      <c r="L18" s="11"/>
      <c r="M18" s="11"/>
      <c r="N18" s="11"/>
      <c r="O18" s="11"/>
      <c r="P18" s="11"/>
    </row>
    <row r="19" spans="1:16" x14ac:dyDescent="0.3">
      <c r="A19" s="11"/>
      <c r="B19" s="192" t="s">
        <v>544</v>
      </c>
      <c r="C19" s="11"/>
      <c r="D19" s="11"/>
      <c r="E19" s="11"/>
      <c r="F19" s="11"/>
      <c r="G19" s="11"/>
      <c r="H19" s="11"/>
      <c r="J19" s="11"/>
      <c r="K19" s="11"/>
      <c r="L19" s="11"/>
      <c r="M19" s="11"/>
      <c r="N19" s="11"/>
      <c r="O19" s="11"/>
      <c r="P19" s="11"/>
    </row>
    <row r="20" spans="1:16" x14ac:dyDescent="0.3">
      <c r="A20" s="11"/>
      <c r="B20" s="192" t="s">
        <v>543</v>
      </c>
      <c r="C20" s="11"/>
      <c r="D20" s="11"/>
      <c r="E20" s="11"/>
      <c r="F20" s="11"/>
      <c r="G20" s="11"/>
      <c r="H20" s="11"/>
      <c r="J20" s="11"/>
      <c r="K20" s="11"/>
      <c r="L20" s="11"/>
      <c r="M20" s="11"/>
      <c r="N20" s="11"/>
      <c r="O20" s="11"/>
      <c r="P20" s="11"/>
    </row>
    <row r="21" spans="1:16" x14ac:dyDescent="0.3">
      <c r="A21" s="11"/>
      <c r="B21" s="192" t="s">
        <v>551</v>
      </c>
      <c r="C21" s="11"/>
      <c r="D21" s="11"/>
      <c r="E21" s="11"/>
      <c r="F21" s="11"/>
      <c r="G21" s="11"/>
      <c r="H21" s="11"/>
      <c r="J21" s="11"/>
      <c r="K21" s="11"/>
      <c r="L21" s="11"/>
      <c r="M21" s="11"/>
      <c r="N21" s="11"/>
      <c r="O21" s="11"/>
      <c r="P21" s="11"/>
    </row>
    <row r="22" spans="1:16" ht="14.55" x14ac:dyDescent="0.35">
      <c r="A22" s="11"/>
      <c r="B22" s="192"/>
      <c r="C22" s="11"/>
      <c r="D22" s="11"/>
      <c r="E22" s="11"/>
      <c r="F22" s="11"/>
      <c r="G22" s="11"/>
      <c r="H22" s="11"/>
      <c r="J22" s="11"/>
      <c r="K22" s="11"/>
      <c r="L22" s="11"/>
      <c r="M22" s="11"/>
      <c r="N22" s="11"/>
      <c r="O22" s="11"/>
      <c r="P22" s="11"/>
    </row>
    <row r="23" spans="1:16" ht="7.5" customHeight="1" x14ac:dyDescent="0.35">
      <c r="A23" s="11"/>
      <c r="B23" s="192"/>
      <c r="C23" s="11"/>
      <c r="D23" s="11"/>
      <c r="E23" s="11"/>
      <c r="F23" s="11"/>
      <c r="G23" s="11"/>
      <c r="H23" s="11"/>
      <c r="J23" s="11"/>
      <c r="K23" s="11"/>
      <c r="L23" s="11"/>
      <c r="M23" s="11"/>
      <c r="N23" s="11"/>
      <c r="O23" s="11"/>
      <c r="P23" s="11"/>
    </row>
    <row r="24" spans="1:16" ht="15.45" x14ac:dyDescent="0.35">
      <c r="A24" s="11"/>
      <c r="B24" s="284" t="s">
        <v>279</v>
      </c>
      <c r="C24" s="285" t="s">
        <v>227</v>
      </c>
      <c r="D24" s="11"/>
      <c r="E24" s="11"/>
      <c r="F24" s="11"/>
      <c r="G24" s="11"/>
      <c r="H24" s="11"/>
      <c r="J24" s="11"/>
      <c r="K24" s="11"/>
      <c r="L24" s="11"/>
      <c r="M24" s="11"/>
      <c r="N24" s="11"/>
      <c r="O24" s="11"/>
      <c r="P24" s="11"/>
    </row>
    <row r="25" spans="1:16" ht="15.45" x14ac:dyDescent="0.35">
      <c r="A25" s="11"/>
      <c r="B25" s="280" t="s">
        <v>407</v>
      </c>
      <c r="C25" s="281">
        <f ca="1">$D$37</f>
        <v>0</v>
      </c>
      <c r="D25" s="11"/>
      <c r="E25" s="11"/>
      <c r="F25" s="11"/>
      <c r="G25" s="11"/>
      <c r="H25" s="11"/>
      <c r="J25" s="11"/>
      <c r="K25" s="11"/>
      <c r="L25" s="11"/>
      <c r="M25" s="11"/>
      <c r="N25" s="11"/>
      <c r="O25" s="11"/>
      <c r="P25" s="11"/>
    </row>
    <row r="26" spans="1:16" ht="15.45" x14ac:dyDescent="0.35">
      <c r="A26" s="11"/>
      <c r="B26" s="530" t="s">
        <v>408</v>
      </c>
      <c r="C26" s="531">
        <f ca="1">D40</f>
        <v>0</v>
      </c>
      <c r="D26" s="11"/>
      <c r="E26" s="11"/>
      <c r="F26" s="11"/>
      <c r="G26" s="11"/>
      <c r="H26" s="11"/>
      <c r="J26" s="11"/>
      <c r="K26" s="11"/>
      <c r="L26" s="11"/>
      <c r="M26" s="11"/>
      <c r="N26" s="11"/>
      <c r="O26" s="11"/>
      <c r="P26" s="11"/>
    </row>
    <row r="27" spans="1:16" ht="14.55" x14ac:dyDescent="0.35">
      <c r="A27" s="11"/>
      <c r="B27" s="192"/>
      <c r="C27" s="11"/>
      <c r="D27" s="11"/>
      <c r="E27" s="11"/>
      <c r="F27" s="11"/>
      <c r="G27" s="11"/>
      <c r="H27" s="11"/>
      <c r="J27" s="11"/>
      <c r="K27" s="11"/>
      <c r="L27" s="11"/>
      <c r="M27" s="11"/>
      <c r="N27" s="11"/>
      <c r="O27" s="11"/>
      <c r="P27" s="11"/>
    </row>
    <row r="28" spans="1:16" ht="14.55" x14ac:dyDescent="0.35">
      <c r="A28" s="11"/>
      <c r="B28" s="48" t="s">
        <v>291</v>
      </c>
      <c r="C28" s="48"/>
      <c r="D28" s="11"/>
      <c r="E28" s="11"/>
      <c r="F28" s="11"/>
      <c r="G28" s="11"/>
      <c r="H28" s="11"/>
      <c r="J28" s="11"/>
      <c r="K28" s="11"/>
      <c r="L28" s="11"/>
      <c r="M28" s="11"/>
      <c r="N28" s="11"/>
      <c r="O28" s="11"/>
      <c r="P28" s="11"/>
    </row>
    <row r="29" spans="1:16" ht="14.55" x14ac:dyDescent="0.35">
      <c r="A29" s="6"/>
      <c r="B29" s="52" t="s">
        <v>382</v>
      </c>
      <c r="C29" s="52"/>
      <c r="D29" s="265">
        <v>0</v>
      </c>
      <c r="E29" s="14"/>
      <c r="G29" s="11"/>
      <c r="H29" s="11"/>
      <c r="I29" s="11"/>
      <c r="J29" s="11"/>
      <c r="K29" s="11"/>
      <c r="L29" s="11"/>
      <c r="M29" s="11"/>
      <c r="N29" s="11"/>
      <c r="O29" s="11"/>
      <c r="P29" s="11"/>
    </row>
    <row r="30" spans="1:16" ht="6" customHeight="1" x14ac:dyDescent="0.35">
      <c r="A30" s="6"/>
      <c r="B30" s="14"/>
      <c r="C30" s="14"/>
      <c r="D30" s="6"/>
      <c r="E30" s="6"/>
      <c r="F30" s="49"/>
      <c r="G30" s="11"/>
      <c r="H30" s="11"/>
      <c r="I30" s="11"/>
      <c r="O30" s="11"/>
      <c r="P30" s="11"/>
    </row>
    <row r="31" spans="1:16" ht="16.05" customHeight="1" x14ac:dyDescent="0.35">
      <c r="A31" s="6"/>
      <c r="B31" s="162" t="s">
        <v>413</v>
      </c>
      <c r="C31" s="73"/>
      <c r="D31" s="264" t="s">
        <v>8</v>
      </c>
      <c r="G31" s="11"/>
      <c r="H31" s="11"/>
      <c r="I31" s="11"/>
      <c r="O31" s="11"/>
      <c r="P31" s="11"/>
    </row>
    <row r="32" spans="1:16" s="17" customFormat="1" ht="6" customHeight="1" x14ac:dyDescent="0.35">
      <c r="A32" s="6"/>
      <c r="B32" s="75"/>
      <c r="C32" s="75"/>
      <c r="D32" s="75"/>
      <c r="E32" s="48"/>
      <c r="G32" s="11"/>
      <c r="H32" s="11"/>
      <c r="I32" s="11"/>
      <c r="O32" s="11"/>
      <c r="P32" s="11"/>
    </row>
    <row r="33" spans="1:16" ht="14.55" customHeight="1" x14ac:dyDescent="0.3">
      <c r="A33" s="6"/>
      <c r="B33" s="76" t="s">
        <v>406</v>
      </c>
      <c r="C33" s="76"/>
      <c r="D33" s="300">
        <f ca="1">$F$68</f>
        <v>1</v>
      </c>
      <c r="E33" s="290" t="s">
        <v>405</v>
      </c>
      <c r="G33" s="11"/>
      <c r="H33" s="11"/>
      <c r="I33" s="11"/>
      <c r="O33" s="11"/>
      <c r="P33" s="11"/>
    </row>
    <row r="34" spans="1:16" ht="14.55" customHeight="1" thickBot="1" x14ac:dyDescent="0.4">
      <c r="A34" s="6"/>
      <c r="B34" s="74" t="s">
        <v>290</v>
      </c>
      <c r="C34" s="74"/>
      <c r="D34" s="193">
        <f ca="1">$D$94*$D$33</f>
        <v>0</v>
      </c>
      <c r="E34" s="6"/>
      <c r="G34" s="11"/>
      <c r="H34" s="11"/>
      <c r="I34" s="11"/>
      <c r="O34" s="11"/>
      <c r="P34" s="11"/>
    </row>
    <row r="35" spans="1:16" ht="6" customHeight="1" thickTop="1" x14ac:dyDescent="0.35">
      <c r="A35" s="6"/>
      <c r="B35" s="14"/>
      <c r="C35" s="14"/>
      <c r="D35" s="6"/>
      <c r="E35" s="6"/>
      <c r="F35" s="6"/>
      <c r="G35" s="11"/>
      <c r="H35" s="11"/>
      <c r="I35" s="11"/>
      <c r="O35" s="11"/>
      <c r="P35" s="11"/>
    </row>
    <row r="36" spans="1:16" ht="14.55" x14ac:dyDescent="0.35">
      <c r="A36" s="6"/>
      <c r="B36" s="52" t="s">
        <v>536</v>
      </c>
      <c r="C36" s="52"/>
      <c r="D36" s="263">
        <v>0</v>
      </c>
      <c r="E36" s="6"/>
      <c r="G36" s="11"/>
      <c r="I36" s="11"/>
      <c r="O36" s="11"/>
      <c r="P36" s="11"/>
    </row>
    <row r="37" spans="1:16" ht="15" thickBot="1" x14ac:dyDescent="0.35">
      <c r="A37" s="6"/>
      <c r="B37" s="74" t="s">
        <v>541</v>
      </c>
      <c r="C37" s="74"/>
      <c r="D37" s="262">
        <f ca="1">$D$34*$D$36</f>
        <v>0</v>
      </c>
      <c r="E37" s="6"/>
      <c r="G37" s="11"/>
      <c r="H37" s="11"/>
      <c r="I37" s="11"/>
      <c r="O37" s="11"/>
      <c r="P37" s="11"/>
    </row>
    <row r="38" spans="1:16" ht="6" customHeight="1" thickTop="1" x14ac:dyDescent="0.3">
      <c r="A38" s="11"/>
      <c r="B38" s="72"/>
      <c r="C38" s="72"/>
      <c r="G38" s="11"/>
      <c r="H38" s="11"/>
      <c r="I38" s="11"/>
    </row>
    <row r="39" spans="1:16" x14ac:dyDescent="0.3">
      <c r="A39" s="11"/>
      <c r="B39" s="76" t="s">
        <v>526</v>
      </c>
      <c r="C39" s="72"/>
      <c r="D39" s="565">
        <v>2.5</v>
      </c>
      <c r="G39" s="11"/>
      <c r="H39" s="11"/>
      <c r="I39" s="11"/>
    </row>
    <row r="40" spans="1:16" ht="15" thickBot="1" x14ac:dyDescent="0.35">
      <c r="A40" s="11"/>
      <c r="B40" s="527" t="s">
        <v>542</v>
      </c>
      <c r="C40" s="528"/>
      <c r="D40" s="529">
        <f ca="1">D37/D39</f>
        <v>0</v>
      </c>
      <c r="G40" s="11"/>
      <c r="H40" s="11"/>
      <c r="I40" s="11"/>
    </row>
    <row r="41" spans="1:16" ht="15" thickTop="1" x14ac:dyDescent="0.3">
      <c r="A41" s="11"/>
      <c r="B41" s="72"/>
      <c r="C41" s="72"/>
      <c r="G41" s="11"/>
      <c r="H41" s="11"/>
      <c r="I41" s="11"/>
    </row>
    <row r="42" spans="1:16" x14ac:dyDescent="0.3">
      <c r="A42" s="11"/>
      <c r="B42" s="77" t="s">
        <v>50</v>
      </c>
      <c r="C42" s="77"/>
      <c r="D42" s="11"/>
      <c r="E42" s="11"/>
      <c r="F42" s="11"/>
      <c r="G42" s="11"/>
      <c r="H42" s="11"/>
      <c r="I42" s="11"/>
      <c r="J42" s="11"/>
      <c r="K42" s="11"/>
      <c r="L42" s="11"/>
      <c r="M42" s="11"/>
      <c r="N42" s="11"/>
      <c r="O42" s="11"/>
      <c r="P42" s="11"/>
    </row>
    <row r="43" spans="1:16" ht="6" customHeight="1" x14ac:dyDescent="0.3">
      <c r="A43" s="11"/>
      <c r="B43" s="77"/>
      <c r="C43" s="77"/>
      <c r="D43" s="11"/>
      <c r="E43" s="11"/>
      <c r="F43" s="11"/>
      <c r="G43" s="11"/>
      <c r="H43" s="11"/>
      <c r="I43" s="11"/>
      <c r="J43" s="11"/>
      <c r="K43" s="11"/>
      <c r="L43" s="11"/>
      <c r="M43" s="11"/>
      <c r="N43" s="11"/>
      <c r="O43" s="11"/>
      <c r="P43" s="11"/>
    </row>
    <row r="44" spans="1:16" x14ac:dyDescent="0.3">
      <c r="A44" s="11"/>
      <c r="B44" s="56" t="s">
        <v>7</v>
      </c>
      <c r="C44" s="57"/>
      <c r="D44" s="57" t="s">
        <v>47</v>
      </c>
      <c r="E44" s="78"/>
      <c r="H44" s="11"/>
      <c r="I44" s="11"/>
      <c r="J44" s="11"/>
      <c r="K44" s="11"/>
      <c r="L44" s="11"/>
      <c r="M44" s="11"/>
      <c r="N44" s="11"/>
      <c r="O44" s="11"/>
      <c r="P44" s="11"/>
    </row>
    <row r="45" spans="1:16" x14ac:dyDescent="0.3">
      <c r="A45" s="11"/>
      <c r="B45" s="28" t="s">
        <v>8</v>
      </c>
      <c r="C45" s="144"/>
      <c r="D45" s="7" t="s">
        <v>51</v>
      </c>
      <c r="E45" s="79"/>
      <c r="F45" s="1"/>
      <c r="H45" s="11"/>
      <c r="I45" s="11"/>
      <c r="J45" s="11"/>
      <c r="K45" s="11"/>
      <c r="L45" s="11"/>
      <c r="M45" s="11"/>
      <c r="N45" s="11"/>
      <c r="O45" s="11"/>
      <c r="P45" s="11"/>
    </row>
    <row r="46" spans="1:16" ht="14.55" customHeight="1" x14ac:dyDescent="0.3">
      <c r="A46" s="11"/>
      <c r="B46" s="140" t="s">
        <v>38</v>
      </c>
      <c r="C46" s="145"/>
      <c r="D46" s="141" t="s">
        <v>211</v>
      </c>
      <c r="E46" s="142"/>
      <c r="F46" s="1"/>
      <c r="H46" s="11"/>
      <c r="I46" s="11"/>
      <c r="J46" s="11"/>
      <c r="K46" s="11"/>
      <c r="L46" s="11"/>
      <c r="M46" s="11"/>
      <c r="N46" s="11"/>
      <c r="O46" s="11"/>
      <c r="P46" s="11"/>
    </row>
    <row r="47" spans="1:16" ht="14.55" customHeight="1" x14ac:dyDescent="0.3">
      <c r="A47" s="11"/>
      <c r="B47" s="29" t="s">
        <v>39</v>
      </c>
      <c r="C47" s="146"/>
      <c r="D47" s="80" t="s">
        <v>103</v>
      </c>
      <c r="E47" s="81"/>
      <c r="F47" s="1"/>
      <c r="H47" s="11"/>
      <c r="I47" s="11"/>
      <c r="J47" s="11"/>
      <c r="K47" s="11"/>
      <c r="L47" s="11"/>
      <c r="M47" s="11"/>
      <c r="N47" s="11"/>
      <c r="O47" s="11"/>
      <c r="P47" s="11"/>
    </row>
    <row r="48" spans="1:16" x14ac:dyDescent="0.3">
      <c r="A48" s="11"/>
      <c r="B48" s="11"/>
      <c r="C48" s="11"/>
      <c r="D48" s="11"/>
      <c r="E48" s="11"/>
      <c r="F48" s="12"/>
      <c r="G48" s="11"/>
      <c r="H48" s="11"/>
      <c r="I48" s="11"/>
      <c r="J48" s="11"/>
      <c r="K48" s="11"/>
      <c r="L48" s="11"/>
      <c r="M48" s="11"/>
      <c r="N48" s="11"/>
      <c r="O48" s="11"/>
      <c r="P48" s="11"/>
    </row>
    <row r="49" spans="1:9" x14ac:dyDescent="0.3">
      <c r="A49" s="11"/>
      <c r="B49" s="13" t="s">
        <v>104</v>
      </c>
      <c r="C49" s="13"/>
      <c r="D49" s="11"/>
      <c r="E49" s="349" t="s">
        <v>288</v>
      </c>
      <c r="F49" s="11"/>
      <c r="G49" s="11"/>
      <c r="H49" s="11"/>
      <c r="I49" s="11"/>
    </row>
    <row r="50" spans="1:9" ht="6" customHeight="1" x14ac:dyDescent="0.3">
      <c r="A50" s="11"/>
      <c r="B50" s="13"/>
      <c r="C50" s="13"/>
      <c r="D50" s="11"/>
      <c r="E50" s="349"/>
      <c r="F50" s="11"/>
      <c r="G50" s="11"/>
      <c r="H50" s="11"/>
      <c r="I50" s="11"/>
    </row>
    <row r="51" spans="1:9" ht="41.55" customHeight="1" x14ac:dyDescent="0.3">
      <c r="A51" s="11"/>
      <c r="B51" s="56" t="s">
        <v>10</v>
      </c>
      <c r="C51" s="57" t="s">
        <v>47</v>
      </c>
      <c r="D51" s="57" t="s">
        <v>166</v>
      </c>
      <c r="E51" s="58" t="s">
        <v>289</v>
      </c>
      <c r="F51" s="59" t="s">
        <v>75</v>
      </c>
      <c r="G51" s="11"/>
      <c r="H51" s="11"/>
      <c r="I51" s="11"/>
    </row>
    <row r="52" spans="1:9" x14ac:dyDescent="0.3">
      <c r="A52" s="11"/>
      <c r="B52" s="53" t="s">
        <v>18</v>
      </c>
      <c r="C52" s="147"/>
      <c r="D52" s="54"/>
      <c r="E52" s="54"/>
      <c r="F52" s="55"/>
      <c r="G52" s="11"/>
      <c r="H52" s="11"/>
      <c r="I52" s="11"/>
    </row>
    <row r="53" spans="1:9" ht="127.95" customHeight="1" x14ac:dyDescent="0.3">
      <c r="A53" s="11"/>
      <c r="B53" s="143" t="s">
        <v>19</v>
      </c>
      <c r="C53" s="27" t="s">
        <v>167</v>
      </c>
      <c r="D53" s="27" t="s">
        <v>357</v>
      </c>
      <c r="E53" s="160" t="s">
        <v>14</v>
      </c>
      <c r="F53" s="210">
        <f ca="1">OFFSET($B$99,MATCH(B53,$B$100:$B$118,0),MATCH(E53,$C$99:$H$99,0))</f>
        <v>1</v>
      </c>
      <c r="G53" s="11"/>
      <c r="H53" s="11"/>
      <c r="I53" s="11"/>
    </row>
    <row r="54" spans="1:9" ht="72" x14ac:dyDescent="0.3">
      <c r="A54" s="11"/>
      <c r="B54" s="301" t="s">
        <v>21</v>
      </c>
      <c r="C54" s="302" t="s">
        <v>516</v>
      </c>
      <c r="D54" s="302" t="s">
        <v>424</v>
      </c>
      <c r="E54" s="303" t="s">
        <v>14</v>
      </c>
      <c r="F54" s="304">
        <f ca="1">OFFSET($B$99,MATCH(B54,$B$100:$B$118,0),MATCH(E54,$C$99:$H$99,0))</f>
        <v>1</v>
      </c>
      <c r="G54" s="11"/>
      <c r="H54" s="11"/>
      <c r="I54" s="11"/>
    </row>
    <row r="55" spans="1:9" x14ac:dyDescent="0.3">
      <c r="A55" s="11"/>
      <c r="B55" s="157" t="s">
        <v>22</v>
      </c>
      <c r="C55" s="147"/>
      <c r="D55" s="90"/>
      <c r="E55" s="161"/>
      <c r="F55" s="211"/>
      <c r="G55" s="11"/>
      <c r="H55" s="11"/>
      <c r="I55" s="11"/>
    </row>
    <row r="56" spans="1:9" ht="115.2" x14ac:dyDescent="0.3">
      <c r="A56" s="11"/>
      <c r="B56" s="305" t="s">
        <v>25</v>
      </c>
      <c r="C56" s="156" t="s">
        <v>169</v>
      </c>
      <c r="D56" s="156" t="s">
        <v>358</v>
      </c>
      <c r="E56" s="306" t="s">
        <v>14</v>
      </c>
      <c r="F56" s="307">
        <f ca="1">OFFSET($B$99,MATCH(B56,$B$100:$B$118,0),MATCH(E56,$C$99:$H$99,0))</f>
        <v>1</v>
      </c>
      <c r="G56" s="11"/>
      <c r="H56" s="11"/>
      <c r="I56" s="11"/>
    </row>
    <row r="57" spans="1:9" ht="72" x14ac:dyDescent="0.3">
      <c r="A57" s="11"/>
      <c r="B57" s="301" t="s">
        <v>168</v>
      </c>
      <c r="C57" s="302" t="s">
        <v>423</v>
      </c>
      <c r="D57" s="302" t="s">
        <v>359</v>
      </c>
      <c r="E57" s="303" t="s">
        <v>14</v>
      </c>
      <c r="F57" s="308">
        <f ca="1">OFFSET($B$99,MATCH(B57,$B$100:$B$118,0),MATCH(E57,$C$99:$H$99,0))</f>
        <v>1</v>
      </c>
      <c r="G57" s="11"/>
      <c r="H57" s="11"/>
      <c r="I57" s="11"/>
    </row>
    <row r="58" spans="1:9" x14ac:dyDescent="0.3">
      <c r="A58" s="11"/>
      <c r="B58" s="157" t="s">
        <v>27</v>
      </c>
      <c r="C58" s="147"/>
      <c r="D58" s="90"/>
      <c r="E58" s="161"/>
      <c r="F58" s="211"/>
      <c r="G58" s="11"/>
      <c r="H58" s="11"/>
      <c r="I58" s="11"/>
    </row>
    <row r="59" spans="1:9" ht="187.2" x14ac:dyDescent="0.3">
      <c r="A59" s="11"/>
      <c r="B59" s="143" t="s">
        <v>28</v>
      </c>
      <c r="C59" s="27" t="s">
        <v>213</v>
      </c>
      <c r="D59" s="27" t="s">
        <v>360</v>
      </c>
      <c r="E59" s="160" t="s">
        <v>14</v>
      </c>
      <c r="F59" s="212">
        <f ca="1">OFFSET($B$99,MATCH(B59,$B$100:$B$118,0),MATCH(E59,$C$99:$H$99,0))</f>
        <v>1</v>
      </c>
      <c r="G59" s="11"/>
      <c r="H59" s="11"/>
      <c r="I59" s="11"/>
    </row>
    <row r="60" spans="1:9" ht="80.55" customHeight="1" x14ac:dyDescent="0.3">
      <c r="A60" s="11"/>
      <c r="B60" s="301" t="s">
        <v>29</v>
      </c>
      <c r="C60" s="302" t="s">
        <v>170</v>
      </c>
      <c r="D60" s="302" t="s">
        <v>361</v>
      </c>
      <c r="E60" s="303" t="s">
        <v>14</v>
      </c>
      <c r="F60" s="308">
        <f ca="1">OFFSET($B$99,MATCH(B60,$B$100:$B$118,0),MATCH(E60,$C$99:$H$99,0))</f>
        <v>1</v>
      </c>
      <c r="G60" s="11"/>
      <c r="H60" s="11"/>
      <c r="I60" s="11"/>
    </row>
    <row r="61" spans="1:9" ht="207" customHeight="1" x14ac:dyDescent="0.3">
      <c r="A61" s="11"/>
      <c r="B61" s="143" t="s">
        <v>30</v>
      </c>
      <c r="C61" s="27" t="s">
        <v>171</v>
      </c>
      <c r="D61" s="27" t="s">
        <v>360</v>
      </c>
      <c r="E61" s="160" t="s">
        <v>14</v>
      </c>
      <c r="F61" s="212">
        <f ca="1">OFFSET($B$99,MATCH(B61,$B$100:$B$118,0),MATCH(E61,$C$99:$H$99,0))</f>
        <v>1</v>
      </c>
      <c r="G61" s="11"/>
      <c r="H61" s="11"/>
      <c r="I61" s="11"/>
    </row>
    <row r="62" spans="1:9" ht="105" customHeight="1" x14ac:dyDescent="0.3">
      <c r="A62" s="11"/>
      <c r="B62" s="301" t="s">
        <v>31</v>
      </c>
      <c r="C62" s="302" t="s">
        <v>212</v>
      </c>
      <c r="D62" s="302" t="s">
        <v>362</v>
      </c>
      <c r="E62" s="303" t="s">
        <v>14</v>
      </c>
      <c r="F62" s="308">
        <f ca="1">OFFSET($B$99,MATCH(B62,$B$100:$B$118,0),MATCH(E62,$C$99:$H$99,0))</f>
        <v>1</v>
      </c>
      <c r="G62" s="11"/>
      <c r="H62" s="11"/>
      <c r="I62" s="11"/>
    </row>
    <row r="63" spans="1:9" ht="86.4" x14ac:dyDescent="0.3">
      <c r="A63" s="11"/>
      <c r="B63" s="143" t="s">
        <v>32</v>
      </c>
      <c r="C63" s="309" t="s">
        <v>172</v>
      </c>
      <c r="D63" s="27" t="s">
        <v>362</v>
      </c>
      <c r="E63" s="160" t="s">
        <v>14</v>
      </c>
      <c r="F63" s="212">
        <f ca="1">OFFSET($B$99,MATCH(B63,$B$100:$B$118,0),MATCH(E63,$C$99:$H$99,0))</f>
        <v>1</v>
      </c>
      <c r="G63" s="11"/>
      <c r="H63" s="11"/>
      <c r="I63" s="11"/>
    </row>
    <row r="64" spans="1:9" x14ac:dyDescent="0.3">
      <c r="A64" s="11"/>
      <c r="B64" s="157" t="s">
        <v>33</v>
      </c>
      <c r="C64" s="147"/>
      <c r="D64" s="90"/>
      <c r="E64" s="161"/>
      <c r="F64" s="211"/>
      <c r="G64" s="11"/>
      <c r="H64" s="11"/>
      <c r="I64" s="11"/>
    </row>
    <row r="65" spans="1:16" ht="133.94999999999999" customHeight="1" x14ac:dyDescent="0.3">
      <c r="A65" s="11"/>
      <c r="B65" s="143" t="s">
        <v>34</v>
      </c>
      <c r="C65" s="27" t="s">
        <v>214</v>
      </c>
      <c r="D65" s="27" t="s">
        <v>363</v>
      </c>
      <c r="E65" s="160" t="s">
        <v>14</v>
      </c>
      <c r="F65" s="212">
        <f ca="1">OFFSET($B$99,MATCH(B65,$B$100:$B$118,0),MATCH(E65,$C$99:$H$99,0))</f>
        <v>1</v>
      </c>
      <c r="G65" s="11"/>
      <c r="H65" s="11"/>
      <c r="I65" s="11"/>
    </row>
    <row r="66" spans="1:16" ht="167.55" customHeight="1" x14ac:dyDescent="0.3">
      <c r="A66" s="11"/>
      <c r="B66" s="301" t="s">
        <v>35</v>
      </c>
      <c r="C66" s="302" t="s">
        <v>173</v>
      </c>
      <c r="D66" s="302" t="s">
        <v>364</v>
      </c>
      <c r="E66" s="303" t="s">
        <v>14</v>
      </c>
      <c r="F66" s="308">
        <f ca="1">OFFSET($B$99,MATCH(B66,$B$100:$B$118,0),MATCH(E66,$C$99:$H$99,0))</f>
        <v>1</v>
      </c>
      <c r="G66" s="11"/>
      <c r="H66" s="11"/>
      <c r="I66" s="11"/>
    </row>
    <row r="67" spans="1:16" ht="100.8" x14ac:dyDescent="0.3">
      <c r="A67" s="11"/>
      <c r="B67" s="143" t="s">
        <v>36</v>
      </c>
      <c r="C67" s="27" t="s">
        <v>174</v>
      </c>
      <c r="D67" s="27" t="s">
        <v>365</v>
      </c>
      <c r="E67" s="160" t="s">
        <v>14</v>
      </c>
      <c r="F67" s="212">
        <f ca="1">OFFSET($B$99,MATCH(B67,$B$100:$B$118,0),MATCH(E67,$C$99:$H$99,0))</f>
        <v>1</v>
      </c>
      <c r="G67" s="11"/>
      <c r="H67" s="11"/>
      <c r="I67" s="11"/>
    </row>
    <row r="68" spans="1:16" ht="25.05" customHeight="1" x14ac:dyDescent="0.3">
      <c r="A68" s="11"/>
      <c r="B68" s="230" t="s">
        <v>37</v>
      </c>
      <c r="C68" s="231"/>
      <c r="D68" s="232"/>
      <c r="E68" s="234" t="s">
        <v>196</v>
      </c>
      <c r="F68" s="233">
        <f ca="1">PRODUCT(F53:F67,F83:F85)</f>
        <v>1</v>
      </c>
      <c r="G68" s="11"/>
      <c r="H68" s="11"/>
      <c r="I68" s="11"/>
    </row>
    <row r="69" spans="1:16" x14ac:dyDescent="0.3">
      <c r="A69" s="11"/>
      <c r="B69" s="91" t="s">
        <v>105</v>
      </c>
      <c r="C69" s="91"/>
      <c r="D69" s="6"/>
      <c r="E69" s="236" t="s">
        <v>197</v>
      </c>
      <c r="F69" s="235">
        <f ca="1">PRODUCT(F65:F67,F59:F63,F56:F57,F53:F54,F83:F85)-F68</f>
        <v>0</v>
      </c>
      <c r="G69" s="6"/>
      <c r="H69" s="11"/>
      <c r="I69" s="11"/>
    </row>
    <row r="70" spans="1:16" x14ac:dyDescent="0.3">
      <c r="A70" s="11"/>
      <c r="B70" s="15"/>
      <c r="C70" s="15"/>
      <c r="D70" s="6"/>
      <c r="E70" s="6"/>
      <c r="F70" s="6"/>
      <c r="G70" s="6"/>
      <c r="H70" s="11"/>
      <c r="I70" s="11"/>
    </row>
    <row r="71" spans="1:16" ht="15.6" x14ac:dyDescent="0.3">
      <c r="A71" s="50" t="s">
        <v>240</v>
      </c>
      <c r="B71" s="16" t="s">
        <v>383</v>
      </c>
      <c r="C71" s="26"/>
      <c r="D71" s="11"/>
      <c r="E71" s="11"/>
      <c r="F71" s="12"/>
      <c r="G71" s="11"/>
      <c r="H71" s="11"/>
      <c r="I71" s="11"/>
      <c r="J71" s="11"/>
      <c r="K71" s="11"/>
      <c r="L71" s="11"/>
      <c r="M71" s="11"/>
      <c r="N71" s="11"/>
      <c r="O71" s="11"/>
      <c r="P71" s="11"/>
    </row>
    <row r="72" spans="1:16" x14ac:dyDescent="0.3">
      <c r="A72" s="11"/>
      <c r="B72" s="46"/>
      <c r="C72" s="46"/>
      <c r="D72" s="11"/>
      <c r="E72" s="11"/>
      <c r="F72" s="12"/>
      <c r="G72" s="11"/>
      <c r="H72" s="11"/>
      <c r="I72" s="11"/>
      <c r="J72" s="11"/>
      <c r="K72" s="11"/>
      <c r="L72" s="11"/>
      <c r="M72" s="11"/>
      <c r="N72" s="11"/>
      <c r="O72" s="11"/>
      <c r="P72" s="11"/>
    </row>
    <row r="73" spans="1:16" ht="14.55" hidden="1" outlineLevel="1" x14ac:dyDescent="0.35">
      <c r="A73" s="11"/>
      <c r="B73" s="13" t="s">
        <v>284</v>
      </c>
      <c r="C73" s="13"/>
      <c r="D73" s="11"/>
      <c r="E73" s="11"/>
      <c r="F73" s="12"/>
      <c r="G73" s="11"/>
      <c r="H73" s="11"/>
      <c r="I73" s="11"/>
      <c r="J73" s="11"/>
      <c r="K73" s="11"/>
      <c r="L73" s="11"/>
      <c r="M73" s="11"/>
      <c r="N73" s="11"/>
      <c r="O73" s="11"/>
      <c r="P73" s="11"/>
    </row>
    <row r="74" spans="1:16" ht="6" hidden="1" customHeight="1" outlineLevel="1" x14ac:dyDescent="0.35">
      <c r="A74" s="11"/>
      <c r="B74" s="13"/>
      <c r="C74" s="13"/>
      <c r="D74" s="11"/>
      <c r="E74" s="11"/>
      <c r="F74" s="12"/>
      <c r="G74" s="11"/>
      <c r="H74" s="11"/>
      <c r="I74" s="11"/>
      <c r="J74" s="11"/>
      <c r="K74" s="11"/>
      <c r="L74" s="11"/>
      <c r="M74" s="11"/>
      <c r="N74" s="11"/>
      <c r="O74" s="11"/>
      <c r="P74" s="11"/>
    </row>
    <row r="75" spans="1:16" ht="13.95" hidden="1" customHeight="1" outlineLevel="1" x14ac:dyDescent="0.45">
      <c r="A75" s="11"/>
      <c r="B75" s="570" t="s">
        <v>7</v>
      </c>
      <c r="C75" s="154" t="s">
        <v>513</v>
      </c>
      <c r="D75" s="152" t="s">
        <v>514</v>
      </c>
      <c r="H75" s="11"/>
      <c r="I75" s="11"/>
      <c r="J75" s="11"/>
      <c r="K75" s="11"/>
      <c r="L75" s="11"/>
      <c r="M75" s="11"/>
      <c r="N75" s="11"/>
      <c r="O75" s="11"/>
      <c r="P75" s="11"/>
    </row>
    <row r="76" spans="1:16" ht="14.55" hidden="1" outlineLevel="1" x14ac:dyDescent="0.35">
      <c r="A76" s="11"/>
      <c r="B76" s="569" t="s">
        <v>8</v>
      </c>
      <c r="C76" s="571">
        <v>3.2</v>
      </c>
      <c r="D76" s="572">
        <v>1.05</v>
      </c>
      <c r="H76" s="11"/>
      <c r="I76" s="11"/>
      <c r="J76" s="11"/>
      <c r="K76" s="11"/>
      <c r="L76" s="11"/>
      <c r="M76" s="11"/>
      <c r="N76" s="11"/>
      <c r="O76" s="11"/>
      <c r="P76" s="11"/>
    </row>
    <row r="77" spans="1:16" ht="14.55" hidden="1" customHeight="1" outlineLevel="1" x14ac:dyDescent="0.35">
      <c r="A77" s="11"/>
      <c r="B77" s="569" t="s">
        <v>38</v>
      </c>
      <c r="C77" s="573">
        <v>3</v>
      </c>
      <c r="D77" s="574">
        <v>1.1200000000000001</v>
      </c>
      <c r="H77" s="11"/>
      <c r="I77" s="11"/>
      <c r="J77" s="11"/>
      <c r="K77" s="11"/>
      <c r="L77" s="11"/>
      <c r="M77" s="11"/>
      <c r="N77" s="11"/>
      <c r="O77" s="11"/>
      <c r="P77" s="11"/>
    </row>
    <row r="78" spans="1:16" ht="14.55" hidden="1" customHeight="1" outlineLevel="1" x14ac:dyDescent="0.35">
      <c r="A78" s="11"/>
      <c r="B78" s="485" t="s">
        <v>39</v>
      </c>
      <c r="C78" s="575">
        <v>2.8</v>
      </c>
      <c r="D78" s="576">
        <v>1.2</v>
      </c>
      <c r="H78" s="11"/>
      <c r="I78" s="11"/>
      <c r="J78" s="11"/>
      <c r="K78" s="11"/>
      <c r="L78" s="11"/>
      <c r="M78" s="11"/>
      <c r="N78" s="11"/>
      <c r="O78" s="11"/>
      <c r="P78" s="11"/>
    </row>
    <row r="79" spans="1:16" ht="7.95" hidden="1" customHeight="1" outlineLevel="1" x14ac:dyDescent="0.35">
      <c r="A79" s="6"/>
      <c r="B79" s="294"/>
      <c r="C79" s="1"/>
      <c r="D79" s="2"/>
      <c r="E79" s="2"/>
      <c r="F79" s="1"/>
      <c r="H79" s="11"/>
      <c r="I79" s="11"/>
      <c r="J79" s="11"/>
      <c r="K79" s="11"/>
      <c r="L79" s="11"/>
      <c r="M79" s="11"/>
      <c r="N79" s="11"/>
      <c r="O79" s="11"/>
      <c r="P79" s="11"/>
    </row>
    <row r="80" spans="1:16" ht="14.55" hidden="1" outlineLevel="1" x14ac:dyDescent="0.35">
      <c r="A80" s="6"/>
      <c r="B80" s="13" t="s">
        <v>286</v>
      </c>
      <c r="C80" s="1"/>
      <c r="D80" s="2"/>
      <c r="E80" s="2"/>
      <c r="F80" s="1"/>
      <c r="H80" s="11"/>
      <c r="I80" s="11"/>
      <c r="J80" s="11"/>
      <c r="K80" s="11"/>
      <c r="L80" s="11"/>
      <c r="M80" s="11"/>
      <c r="N80" s="11"/>
      <c r="O80" s="11"/>
      <c r="P80" s="11"/>
    </row>
    <row r="81" spans="1:16" ht="6" hidden="1" customHeight="1" outlineLevel="1" x14ac:dyDescent="0.35">
      <c r="A81" s="6"/>
      <c r="B81" s="294"/>
      <c r="C81" s="1"/>
      <c r="D81" s="2"/>
      <c r="E81" s="2"/>
      <c r="F81" s="1"/>
      <c r="H81" s="11"/>
      <c r="I81" s="11"/>
      <c r="J81" s="11"/>
      <c r="K81" s="11"/>
      <c r="L81" s="11"/>
      <c r="M81" s="11"/>
      <c r="N81" s="11"/>
      <c r="O81" s="11"/>
      <c r="P81" s="11"/>
    </row>
    <row r="82" spans="1:16" ht="14.55" hidden="1" outlineLevel="1" x14ac:dyDescent="0.35">
      <c r="A82" s="6"/>
      <c r="B82" s="153" t="s">
        <v>285</v>
      </c>
      <c r="C82" s="21"/>
      <c r="D82" s="21"/>
      <c r="E82" s="21"/>
      <c r="F82" s="21"/>
      <c r="H82" s="11"/>
      <c r="I82" s="11"/>
      <c r="J82" s="11"/>
      <c r="K82" s="11"/>
      <c r="L82" s="11"/>
      <c r="M82" s="11"/>
      <c r="N82" s="11"/>
      <c r="O82" s="11"/>
      <c r="P82" s="11"/>
    </row>
    <row r="83" spans="1:16" ht="115.95" hidden="1" outlineLevel="1" x14ac:dyDescent="0.35">
      <c r="A83" s="11"/>
      <c r="B83" s="493" t="s">
        <v>20</v>
      </c>
      <c r="C83" s="494" t="s">
        <v>428</v>
      </c>
      <c r="D83" s="494" t="s">
        <v>366</v>
      </c>
      <c r="E83" s="487" t="s">
        <v>14</v>
      </c>
      <c r="F83" s="490">
        <f ca="1">OFFSET($B$99,MATCH(B83,$B$100:$B$118,0),MATCH(E83,$C$99:$H$99,0))</f>
        <v>1</v>
      </c>
      <c r="H83" s="11"/>
      <c r="I83" s="11"/>
      <c r="J83" s="11"/>
      <c r="K83" s="11"/>
      <c r="L83" s="11"/>
      <c r="M83" s="11"/>
      <c r="N83" s="11"/>
      <c r="O83" s="11"/>
      <c r="P83" s="11"/>
    </row>
    <row r="84" spans="1:16" ht="145.05000000000001" hidden="1" outlineLevel="1" x14ac:dyDescent="0.35">
      <c r="A84" s="11"/>
      <c r="B84" s="495" t="s">
        <v>24</v>
      </c>
      <c r="C84" s="496" t="s">
        <v>422</v>
      </c>
      <c r="D84" s="496" t="s">
        <v>367</v>
      </c>
      <c r="E84" s="488" t="s">
        <v>14</v>
      </c>
      <c r="F84" s="491">
        <f ca="1">OFFSET($B$99,MATCH(B84,$B$100:$B$118,0),MATCH(E84,$C$99:$H$99,0))</f>
        <v>1</v>
      </c>
      <c r="H84" s="11"/>
      <c r="I84" s="11"/>
      <c r="J84" s="11"/>
      <c r="K84" s="11"/>
      <c r="L84" s="11"/>
      <c r="M84" s="11"/>
      <c r="N84" s="11"/>
      <c r="O84" s="11"/>
      <c r="P84" s="11"/>
    </row>
    <row r="85" spans="1:16" ht="101.55" hidden="1" outlineLevel="1" x14ac:dyDescent="0.35">
      <c r="A85" s="11"/>
      <c r="B85" s="497" t="s">
        <v>26</v>
      </c>
      <c r="C85" s="498" t="s">
        <v>517</v>
      </c>
      <c r="D85" s="499" t="s">
        <v>421</v>
      </c>
      <c r="E85" s="489" t="s">
        <v>14</v>
      </c>
      <c r="F85" s="492">
        <f ca="1">OFFSET($B$99,MATCH(B85,$B$100:$B$118,0),MATCH(E85,$C$99:$H$99,0))</f>
        <v>1</v>
      </c>
      <c r="G85" s="11"/>
      <c r="H85" s="11"/>
      <c r="I85" s="11"/>
      <c r="J85" s="11"/>
      <c r="K85" s="11"/>
      <c r="L85" s="11"/>
      <c r="M85" s="11"/>
      <c r="N85" s="11"/>
      <c r="O85" s="11"/>
      <c r="P85" s="11"/>
    </row>
    <row r="86" spans="1:16" ht="14.55" hidden="1" outlineLevel="1" x14ac:dyDescent="0.35">
      <c r="A86" s="11"/>
      <c r="B86" s="11"/>
      <c r="C86" s="11"/>
      <c r="D86" s="11"/>
      <c r="E86" s="11"/>
      <c r="F86" s="11"/>
      <c r="H86" s="11"/>
      <c r="I86" s="11"/>
      <c r="J86" s="11"/>
      <c r="K86" s="11"/>
      <c r="L86" s="11"/>
      <c r="M86" s="11"/>
      <c r="N86" s="11"/>
      <c r="O86" s="11"/>
      <c r="P86" s="11"/>
    </row>
    <row r="87" spans="1:16" ht="14.55" hidden="1" outlineLevel="1" x14ac:dyDescent="0.35">
      <c r="A87" s="11"/>
      <c r="B87" s="13" t="s">
        <v>420</v>
      </c>
      <c r="C87" s="11"/>
      <c r="D87" s="11"/>
      <c r="E87" s="11"/>
      <c r="F87" s="11"/>
      <c r="H87" s="11"/>
      <c r="I87" s="11"/>
      <c r="J87" s="11"/>
      <c r="K87" s="11"/>
      <c r="L87" s="11"/>
      <c r="M87" s="11"/>
      <c r="N87" s="11"/>
      <c r="O87" s="11"/>
      <c r="P87" s="11"/>
    </row>
    <row r="88" spans="1:16" ht="6" hidden="1" customHeight="1" outlineLevel="1" x14ac:dyDescent="0.35">
      <c r="A88" s="11"/>
      <c r="B88" s="11"/>
      <c r="C88" s="11"/>
      <c r="D88" s="11"/>
      <c r="E88" s="11"/>
      <c r="F88" s="11"/>
      <c r="H88" s="11"/>
      <c r="I88" s="11"/>
      <c r="J88" s="11"/>
      <c r="K88" s="11"/>
      <c r="L88" s="11"/>
      <c r="M88" s="11"/>
      <c r="N88" s="11"/>
      <c r="O88" s="11"/>
      <c r="P88" s="11"/>
    </row>
    <row r="89" spans="1:16" ht="14.55" hidden="1" outlineLevel="1" x14ac:dyDescent="0.35">
      <c r="A89" s="11"/>
      <c r="B89" s="568" t="s">
        <v>534</v>
      </c>
      <c r="C89" s="347"/>
      <c r="D89" s="543" t="s">
        <v>535</v>
      </c>
      <c r="F89" s="12"/>
      <c r="G89" s="11"/>
      <c r="H89" s="11"/>
      <c r="I89" s="11"/>
      <c r="J89" s="11"/>
      <c r="K89" s="11"/>
      <c r="L89" s="11"/>
      <c r="M89" s="11"/>
      <c r="N89" s="11"/>
      <c r="O89" s="11"/>
      <c r="P89" s="11"/>
    </row>
    <row r="90" spans="1:16" ht="14.55" hidden="1" outlineLevel="1" x14ac:dyDescent="0.35">
      <c r="A90" s="11"/>
      <c r="B90" s="569" t="s">
        <v>558</v>
      </c>
      <c r="C90" s="481"/>
      <c r="D90" s="544" t="s">
        <v>515</v>
      </c>
      <c r="H90" s="11"/>
      <c r="I90" s="11"/>
      <c r="J90" s="11"/>
      <c r="K90" s="11"/>
      <c r="L90" s="11"/>
      <c r="M90" s="11"/>
      <c r="N90" s="11"/>
      <c r="O90" s="11"/>
      <c r="P90" s="11"/>
    </row>
    <row r="91" spans="1:16" ht="14.55" hidden="1" outlineLevel="1" x14ac:dyDescent="0.35">
      <c r="A91" s="11"/>
      <c r="B91" s="482" t="s">
        <v>559</v>
      </c>
      <c r="C91" s="481"/>
      <c r="D91" s="544"/>
      <c r="H91" s="11"/>
      <c r="I91" s="11"/>
      <c r="J91" s="11"/>
      <c r="K91" s="11"/>
      <c r="L91" s="11"/>
      <c r="M91" s="11"/>
      <c r="N91" s="11"/>
      <c r="O91" s="11"/>
      <c r="P91" s="11"/>
    </row>
    <row r="92" spans="1:16" ht="14.55" hidden="1" outlineLevel="1" x14ac:dyDescent="0.35">
      <c r="A92" s="11"/>
      <c r="B92" s="482" t="s">
        <v>532</v>
      </c>
      <c r="C92" s="483"/>
      <c r="D92" s="566">
        <f>INDEX($C$76:$C$78,MATCH($D$31,$B$45:$B$47,0))</f>
        <v>3.2</v>
      </c>
      <c r="H92" s="11"/>
      <c r="I92" s="11"/>
      <c r="J92" s="11"/>
      <c r="K92" s="11"/>
      <c r="L92" s="11"/>
      <c r="M92" s="11"/>
      <c r="N92" s="11"/>
      <c r="O92" s="11"/>
      <c r="P92" s="11"/>
    </row>
    <row r="93" spans="1:16" ht="14.55" hidden="1" outlineLevel="1" x14ac:dyDescent="0.35">
      <c r="A93" s="11"/>
      <c r="B93" s="484" t="s">
        <v>533</v>
      </c>
      <c r="C93" s="483"/>
      <c r="D93" s="577">
        <f>INDEX($D$76:$D$78,MATCH($D$31,$B$45:$B$47,0))</f>
        <v>1.05</v>
      </c>
      <c r="H93" s="11"/>
      <c r="I93" s="11"/>
      <c r="J93" s="11"/>
      <c r="K93" s="11"/>
      <c r="L93" s="11"/>
      <c r="M93" s="11"/>
      <c r="N93" s="11"/>
      <c r="O93" s="11"/>
      <c r="P93" s="11"/>
    </row>
    <row r="94" spans="1:16" ht="14.55" hidden="1" outlineLevel="1" x14ac:dyDescent="0.35">
      <c r="A94" s="11"/>
      <c r="B94" s="485" t="s">
        <v>175</v>
      </c>
      <c r="C94" s="486"/>
      <c r="D94" s="567">
        <f ca="1">$D$92*($D$29/1000)^$D$93/12 * $D$33</f>
        <v>0</v>
      </c>
      <c r="F94" s="6"/>
      <c r="H94" s="11"/>
      <c r="I94" s="11"/>
      <c r="J94" s="11"/>
      <c r="K94" s="11"/>
      <c r="L94" s="11"/>
      <c r="M94" s="11"/>
      <c r="N94" s="11"/>
      <c r="O94" s="11"/>
      <c r="P94" s="11"/>
    </row>
    <row r="95" spans="1:16" ht="14.55" hidden="1" outlineLevel="1" x14ac:dyDescent="0.35">
      <c r="A95" s="11"/>
      <c r="D95" s="102"/>
      <c r="H95" s="11"/>
      <c r="I95" s="11"/>
      <c r="J95" s="11"/>
      <c r="K95" s="11"/>
      <c r="L95" s="11"/>
      <c r="M95" s="11"/>
      <c r="N95" s="11"/>
      <c r="O95" s="11"/>
      <c r="P95" s="11"/>
    </row>
    <row r="96" spans="1:16" ht="14.55" hidden="1" outlineLevel="1" x14ac:dyDescent="0.35">
      <c r="A96" s="14"/>
      <c r="B96" s="13" t="s">
        <v>287</v>
      </c>
      <c r="C96" s="13"/>
      <c r="D96" s="11"/>
      <c r="E96" s="11"/>
      <c r="F96" s="11"/>
      <c r="G96" s="11"/>
      <c r="H96" s="11"/>
      <c r="I96" s="11"/>
    </row>
    <row r="97" spans="1:16" ht="6" hidden="1" customHeight="1" outlineLevel="1" x14ac:dyDescent="0.35">
      <c r="A97" s="14"/>
      <c r="B97" s="13"/>
      <c r="C97" s="13"/>
      <c r="D97" s="11"/>
      <c r="E97" s="11"/>
      <c r="F97" s="11"/>
      <c r="G97" s="11"/>
      <c r="H97" s="11"/>
      <c r="I97" s="11"/>
    </row>
    <row r="98" spans="1:16" ht="14.55" hidden="1" outlineLevel="1" x14ac:dyDescent="0.35">
      <c r="A98" s="14"/>
      <c r="B98" s="24"/>
      <c r="C98" s="94" t="s">
        <v>9</v>
      </c>
      <c r="D98" s="95"/>
      <c r="E98" s="95"/>
      <c r="F98" s="95"/>
      <c r="G98" s="95"/>
      <c r="H98" s="96"/>
      <c r="K98" s="11"/>
      <c r="L98" s="11"/>
      <c r="M98" s="11"/>
      <c r="N98" s="11"/>
      <c r="O98" s="11"/>
      <c r="P98" s="11"/>
    </row>
    <row r="99" spans="1:16" ht="14.55" hidden="1" outlineLevel="1" x14ac:dyDescent="0.35">
      <c r="A99" s="14"/>
      <c r="B99" s="25" t="s">
        <v>11</v>
      </c>
      <c r="C99" s="148" t="s">
        <v>12</v>
      </c>
      <c r="D99" s="149" t="s">
        <v>13</v>
      </c>
      <c r="E99" s="149" t="s">
        <v>14</v>
      </c>
      <c r="F99" s="149" t="s">
        <v>15</v>
      </c>
      <c r="G99" s="149" t="s">
        <v>16</v>
      </c>
      <c r="H99" s="150" t="s">
        <v>17</v>
      </c>
      <c r="K99" s="11"/>
      <c r="L99" s="11"/>
      <c r="M99" s="11"/>
      <c r="N99" s="11"/>
      <c r="O99" s="11"/>
      <c r="P99" s="11"/>
    </row>
    <row r="100" spans="1:16" ht="14.55" hidden="1" outlineLevel="1" x14ac:dyDescent="0.35">
      <c r="A100" s="11"/>
      <c r="B100" s="453" t="s">
        <v>18</v>
      </c>
      <c r="C100" s="54"/>
      <c r="D100" s="54"/>
      <c r="E100" s="54"/>
      <c r="F100" s="54"/>
      <c r="G100" s="54"/>
      <c r="H100" s="55"/>
    </row>
    <row r="101" spans="1:16" ht="14.55" hidden="1" outlineLevel="1" x14ac:dyDescent="0.35">
      <c r="A101" s="11"/>
      <c r="B101" s="455" t="s">
        <v>19</v>
      </c>
      <c r="C101" s="456">
        <v>0.75</v>
      </c>
      <c r="D101" s="457">
        <v>0.88</v>
      </c>
      <c r="E101" s="457">
        <v>1</v>
      </c>
      <c r="F101" s="457">
        <v>1.1499999999999999</v>
      </c>
      <c r="G101" s="457">
        <v>1.4</v>
      </c>
      <c r="H101" s="458" t="s">
        <v>283</v>
      </c>
    </row>
    <row r="102" spans="1:16" ht="14.55" hidden="1" outlineLevel="1" x14ac:dyDescent="0.35">
      <c r="A102" s="11"/>
      <c r="B102" s="455" t="s">
        <v>20</v>
      </c>
      <c r="C102" s="459" t="s">
        <v>283</v>
      </c>
      <c r="D102" s="457">
        <v>0.94</v>
      </c>
      <c r="E102" s="457">
        <v>1</v>
      </c>
      <c r="F102" s="457">
        <v>1.08</v>
      </c>
      <c r="G102" s="457">
        <v>1.1599999999999999</v>
      </c>
      <c r="H102" s="458" t="s">
        <v>283</v>
      </c>
    </row>
    <row r="103" spans="1:16" ht="14.55" hidden="1" outlineLevel="1" x14ac:dyDescent="0.35">
      <c r="A103" s="11"/>
      <c r="B103" s="455" t="s">
        <v>21</v>
      </c>
      <c r="C103" s="456">
        <v>0.7</v>
      </c>
      <c r="D103" s="457">
        <v>0.85</v>
      </c>
      <c r="E103" s="457">
        <v>1</v>
      </c>
      <c r="F103" s="457">
        <v>1.1499999999999999</v>
      </c>
      <c r="G103" s="457">
        <v>1.3</v>
      </c>
      <c r="H103" s="460">
        <v>1.65</v>
      </c>
    </row>
    <row r="104" spans="1:16" ht="14.55" hidden="1" outlineLevel="1" x14ac:dyDescent="0.35">
      <c r="B104" s="454" t="s">
        <v>22</v>
      </c>
      <c r="C104" s="158"/>
      <c r="D104" s="158"/>
      <c r="E104" s="158"/>
      <c r="F104" s="158"/>
      <c r="G104" s="158"/>
      <c r="H104" s="159"/>
    </row>
    <row r="105" spans="1:16" ht="12.45" hidden="1" customHeight="1" outlineLevel="1" x14ac:dyDescent="0.35">
      <c r="B105" s="461" t="s">
        <v>23</v>
      </c>
      <c r="C105" s="462" t="s">
        <v>283</v>
      </c>
      <c r="D105" s="463" t="s">
        <v>283</v>
      </c>
      <c r="E105" s="464">
        <v>1</v>
      </c>
      <c r="F105" s="464">
        <v>1.1100000000000001</v>
      </c>
      <c r="G105" s="464">
        <v>1.3</v>
      </c>
      <c r="H105" s="465">
        <v>1.66</v>
      </c>
    </row>
    <row r="106" spans="1:16" ht="14.55" hidden="1" outlineLevel="1" x14ac:dyDescent="0.35">
      <c r="B106" s="466" t="s">
        <v>24</v>
      </c>
      <c r="C106" s="467" t="s">
        <v>283</v>
      </c>
      <c r="D106" s="468" t="s">
        <v>283</v>
      </c>
      <c r="E106" s="469">
        <v>1</v>
      </c>
      <c r="F106" s="469">
        <v>1.06</v>
      </c>
      <c r="G106" s="469">
        <v>1.21</v>
      </c>
      <c r="H106" s="470">
        <v>1.56</v>
      </c>
    </row>
    <row r="107" spans="1:16" ht="28.05" hidden="1" outlineLevel="1" x14ac:dyDescent="0.35">
      <c r="B107" s="466" t="s">
        <v>25</v>
      </c>
      <c r="C107" s="467" t="s">
        <v>283</v>
      </c>
      <c r="D107" s="469">
        <v>0.87</v>
      </c>
      <c r="E107" s="469">
        <v>1</v>
      </c>
      <c r="F107" s="469">
        <v>1.1499999999999999</v>
      </c>
      <c r="G107" s="469">
        <v>1.3</v>
      </c>
      <c r="H107" s="471" t="s">
        <v>283</v>
      </c>
    </row>
    <row r="108" spans="1:16" ht="14.55" hidden="1" outlineLevel="1" x14ac:dyDescent="0.35">
      <c r="B108" s="472" t="s">
        <v>26</v>
      </c>
      <c r="C108" s="473" t="s">
        <v>283</v>
      </c>
      <c r="D108" s="474">
        <v>0.87</v>
      </c>
      <c r="E108" s="474">
        <v>1</v>
      </c>
      <c r="F108" s="474">
        <v>1.07</v>
      </c>
      <c r="G108" s="474">
        <v>1.1499999999999999</v>
      </c>
      <c r="H108" s="475" t="s">
        <v>283</v>
      </c>
    </row>
    <row r="109" spans="1:16" ht="14.55" hidden="1" outlineLevel="1" x14ac:dyDescent="0.35">
      <c r="B109" s="454" t="s">
        <v>27</v>
      </c>
      <c r="C109" s="158"/>
      <c r="D109" s="158"/>
      <c r="E109" s="158"/>
      <c r="F109" s="158"/>
      <c r="G109" s="158"/>
      <c r="H109" s="159"/>
    </row>
    <row r="110" spans="1:16" ht="14.55" hidden="1" outlineLevel="1" x14ac:dyDescent="0.35">
      <c r="B110" s="461" t="s">
        <v>28</v>
      </c>
      <c r="C110" s="476">
        <v>1.46</v>
      </c>
      <c r="D110" s="464">
        <v>1.19</v>
      </c>
      <c r="E110" s="464">
        <v>1</v>
      </c>
      <c r="F110" s="464">
        <v>0.86</v>
      </c>
      <c r="G110" s="464">
        <v>0.71</v>
      </c>
      <c r="H110" s="477" t="s">
        <v>283</v>
      </c>
    </row>
    <row r="111" spans="1:16" ht="14.55" hidden="1" outlineLevel="1" x14ac:dyDescent="0.35">
      <c r="B111" s="466" t="s">
        <v>29</v>
      </c>
      <c r="C111" s="478">
        <v>1.29</v>
      </c>
      <c r="D111" s="469">
        <v>1.1299999999999999</v>
      </c>
      <c r="E111" s="469">
        <v>1</v>
      </c>
      <c r="F111" s="469">
        <v>0.91</v>
      </c>
      <c r="G111" s="469">
        <v>0.82</v>
      </c>
      <c r="H111" s="471" t="s">
        <v>283</v>
      </c>
    </row>
    <row r="112" spans="1:16" ht="14.55" hidden="1" outlineLevel="1" x14ac:dyDescent="0.35">
      <c r="B112" s="466" t="s">
        <v>30</v>
      </c>
      <c r="C112" s="478">
        <v>1.42</v>
      </c>
      <c r="D112" s="469">
        <v>1.17</v>
      </c>
      <c r="E112" s="469">
        <v>1</v>
      </c>
      <c r="F112" s="469">
        <v>0.86</v>
      </c>
      <c r="G112" s="469">
        <v>0.7</v>
      </c>
      <c r="H112" s="471" t="s">
        <v>283</v>
      </c>
    </row>
    <row r="113" spans="2:9" ht="14.55" hidden="1" outlineLevel="1" x14ac:dyDescent="0.35">
      <c r="B113" s="466" t="s">
        <v>31</v>
      </c>
      <c r="C113" s="478">
        <v>1.21</v>
      </c>
      <c r="D113" s="469">
        <v>1.1000000000000001</v>
      </c>
      <c r="E113" s="469">
        <v>1</v>
      </c>
      <c r="F113" s="469">
        <v>0.9</v>
      </c>
      <c r="G113" s="468" t="s">
        <v>283</v>
      </c>
      <c r="H113" s="471" t="s">
        <v>283</v>
      </c>
    </row>
    <row r="114" spans="2:9" ht="28.05" hidden="1" outlineLevel="1" x14ac:dyDescent="0.35">
      <c r="B114" s="472" t="s">
        <v>32</v>
      </c>
      <c r="C114" s="479">
        <v>1.1399999999999999</v>
      </c>
      <c r="D114" s="474">
        <v>1.07</v>
      </c>
      <c r="E114" s="474">
        <v>1</v>
      </c>
      <c r="F114" s="474">
        <v>0.95</v>
      </c>
      <c r="G114" s="480" t="s">
        <v>283</v>
      </c>
      <c r="H114" s="475" t="s">
        <v>283</v>
      </c>
    </row>
    <row r="115" spans="2:9" ht="14.55" hidden="1" outlineLevel="1" x14ac:dyDescent="0.35">
      <c r="B115" s="454" t="s">
        <v>33</v>
      </c>
      <c r="C115" s="158"/>
      <c r="D115" s="158"/>
      <c r="E115" s="158"/>
      <c r="F115" s="158"/>
      <c r="G115" s="158"/>
      <c r="H115" s="159"/>
    </row>
    <row r="116" spans="2:9" ht="28.05" hidden="1" outlineLevel="1" x14ac:dyDescent="0.35">
      <c r="B116" s="461" t="s">
        <v>34</v>
      </c>
      <c r="C116" s="476">
        <v>1.24</v>
      </c>
      <c r="D116" s="464">
        <v>1.1000000000000001</v>
      </c>
      <c r="E116" s="464">
        <v>1</v>
      </c>
      <c r="F116" s="464">
        <v>0.91</v>
      </c>
      <c r="G116" s="464">
        <v>0.82</v>
      </c>
      <c r="H116" s="477" t="s">
        <v>283</v>
      </c>
    </row>
    <row r="117" spans="2:9" ht="14.55" hidden="1" outlineLevel="1" x14ac:dyDescent="0.35">
      <c r="B117" s="466" t="s">
        <v>35</v>
      </c>
      <c r="C117" s="478">
        <v>1.24</v>
      </c>
      <c r="D117" s="469">
        <v>1.1000000000000001</v>
      </c>
      <c r="E117" s="469">
        <v>1</v>
      </c>
      <c r="F117" s="469">
        <v>0.91</v>
      </c>
      <c r="G117" s="469">
        <v>0.83</v>
      </c>
      <c r="H117" s="471" t="s">
        <v>283</v>
      </c>
    </row>
    <row r="118" spans="2:9" ht="28.05" hidden="1" outlineLevel="1" x14ac:dyDescent="0.35">
      <c r="B118" s="472" t="s">
        <v>36</v>
      </c>
      <c r="C118" s="479">
        <v>1.23</v>
      </c>
      <c r="D118" s="474">
        <v>1.08</v>
      </c>
      <c r="E118" s="474">
        <v>1</v>
      </c>
      <c r="F118" s="474">
        <v>1.04</v>
      </c>
      <c r="G118" s="474">
        <v>1.1000000000000001</v>
      </c>
      <c r="H118" s="475" t="s">
        <v>283</v>
      </c>
    </row>
    <row r="119" spans="2:9" ht="15" hidden="1" customHeight="1" outlineLevel="1" x14ac:dyDescent="0.35">
      <c r="B119" s="213" t="s">
        <v>74</v>
      </c>
      <c r="C119" s="52"/>
      <c r="D119" s="17"/>
      <c r="E119" s="17"/>
      <c r="F119" s="17"/>
      <c r="G119" s="17"/>
      <c r="H119" s="17"/>
      <c r="I119" s="17"/>
    </row>
    <row r="120" spans="2:9" ht="15" hidden="1" customHeight="1" outlineLevel="1" x14ac:dyDescent="0.35">
      <c r="D120" s="17"/>
      <c r="E120" s="17"/>
      <c r="F120" s="17"/>
      <c r="G120" s="17"/>
      <c r="H120" s="17"/>
      <c r="I120" s="17"/>
    </row>
    <row r="121" spans="2:9" ht="15" customHeight="1" collapsed="1" x14ac:dyDescent="0.3">
      <c r="B121" s="17"/>
      <c r="C121" s="17"/>
      <c r="D121" s="17"/>
      <c r="E121" s="17"/>
      <c r="F121" s="17"/>
      <c r="G121" s="17"/>
      <c r="H121" s="17"/>
      <c r="I121" s="17"/>
    </row>
    <row r="122" spans="2:9" ht="15" customHeight="1" x14ac:dyDescent="0.3">
      <c r="B122" s="17"/>
      <c r="C122" s="17"/>
      <c r="D122" s="17"/>
      <c r="E122" s="17"/>
      <c r="F122" s="17"/>
      <c r="G122" s="17"/>
      <c r="H122" s="17"/>
      <c r="I122" s="17"/>
    </row>
    <row r="123" spans="2:9" ht="15" customHeight="1" x14ac:dyDescent="0.3">
      <c r="B123" s="17"/>
      <c r="C123" s="17"/>
      <c r="D123" s="17"/>
      <c r="E123" s="17"/>
      <c r="F123" s="17"/>
      <c r="G123" s="17"/>
      <c r="H123" s="17"/>
      <c r="I123" s="17"/>
    </row>
    <row r="124" spans="2:9" ht="15" customHeight="1" x14ac:dyDescent="0.3">
      <c r="B124" s="17"/>
      <c r="C124" s="17"/>
      <c r="D124" s="17"/>
      <c r="E124" s="17"/>
      <c r="F124" s="17"/>
      <c r="G124" s="17"/>
      <c r="H124" s="17"/>
      <c r="I124" s="17"/>
    </row>
    <row r="125" spans="2:9" ht="15" customHeight="1" x14ac:dyDescent="0.3">
      <c r="B125" s="17"/>
      <c r="C125" s="17"/>
      <c r="D125" s="17"/>
      <c r="E125" s="17"/>
      <c r="F125" s="17"/>
      <c r="G125" s="17"/>
      <c r="H125" s="17"/>
      <c r="I125" s="17"/>
    </row>
    <row r="126" spans="2:9" x14ac:dyDescent="0.3">
      <c r="B126" s="17"/>
      <c r="C126" s="17"/>
      <c r="D126" s="17"/>
      <c r="E126" s="17"/>
      <c r="F126" s="17"/>
      <c r="G126" s="17"/>
      <c r="H126" s="17"/>
      <c r="I126" s="17"/>
    </row>
    <row r="127" spans="2:9" x14ac:dyDescent="0.3">
      <c r="B127" s="17"/>
      <c r="C127" s="17"/>
      <c r="D127" s="17"/>
      <c r="E127" s="17"/>
      <c r="F127" s="17"/>
      <c r="G127" s="17"/>
      <c r="H127" s="17"/>
      <c r="I127" s="17"/>
    </row>
    <row r="128" spans="2:9" x14ac:dyDescent="0.3">
      <c r="B128" s="17"/>
      <c r="C128" s="17"/>
      <c r="D128" s="17"/>
      <c r="E128" s="17"/>
      <c r="F128" s="17"/>
      <c r="G128" s="17"/>
      <c r="H128" s="17"/>
      <c r="I128" s="17"/>
    </row>
  </sheetData>
  <sheetProtection formatCells="0" formatColumns="0" formatRows="0" insertColumns="0" insertRows="0" deleteColumns="0" deleteRows="0"/>
  <protectedRanges>
    <protectedRange sqref="B24:D31 B36:D36 B39:D40 B51:F67 B82:F85" name="COCOMO"/>
  </protectedRanges>
  <dataValidations count="6">
    <dataValidation type="list" allowBlank="1" showInputMessage="1" showErrorMessage="1" sqref="D31">
      <formula1>B$45:B$47</formula1>
    </dataValidation>
    <dataValidation type="list" allowBlank="1" showInputMessage="1" showErrorMessage="1" sqref="E54">
      <formula1>$C$99:$H$99</formula1>
    </dataValidation>
    <dataValidation type="list" allowBlank="1" showInputMessage="1" showErrorMessage="1" sqref="E53 E59:E61 E65:E67">
      <formula1>$C$99:$G$99</formula1>
    </dataValidation>
    <dataValidation type="list" allowBlank="1" showInputMessage="1" showErrorMessage="1" sqref="E62:E63">
      <formula1>$C$99:$F$99</formula1>
    </dataValidation>
    <dataValidation type="list" allowBlank="1" showInputMessage="1" showErrorMessage="1" sqref="E85 E83 E56:E57">
      <formula1>$D$99:$G$99</formula1>
    </dataValidation>
    <dataValidation type="list" allowBlank="1" showInputMessage="1" showErrorMessage="1" sqref="E84">
      <formula1>$E$99:$H$99</formula1>
    </dataValidation>
  </dataValidations>
  <pageMargins left="0.25" right="0.25" top="0.75" bottom="0.75" header="0.3" footer="0.3"/>
  <pageSetup scale="5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8"/>
  <sheetViews>
    <sheetView showGridLines="0" zoomScale="80" zoomScaleNormal="80" workbookViewId="0">
      <selection activeCell="A3" sqref="A3"/>
    </sheetView>
  </sheetViews>
  <sheetFormatPr defaultRowHeight="14.4" x14ac:dyDescent="0.3"/>
  <cols>
    <col min="1" max="2" width="6.33203125" customWidth="1"/>
    <col min="3" max="3" width="61.109375" customWidth="1"/>
    <col min="4" max="4" width="2.88671875" customWidth="1"/>
    <col min="5" max="5" width="16.109375" customWidth="1"/>
    <col min="8" max="8" width="12.33203125" customWidth="1"/>
    <col min="12" max="12" width="12.6640625" bestFit="1" customWidth="1"/>
  </cols>
  <sheetData>
    <row r="1" spans="1:11" ht="14.55" x14ac:dyDescent="0.35">
      <c r="A1" s="34" t="s">
        <v>347</v>
      </c>
      <c r="B1" s="34"/>
      <c r="K1" s="114" t="s">
        <v>569</v>
      </c>
    </row>
    <row r="2" spans="1:11" ht="14.55" x14ac:dyDescent="0.35">
      <c r="A2" t="s">
        <v>348</v>
      </c>
    </row>
    <row r="4" spans="1:11" ht="14.55" x14ac:dyDescent="0.35">
      <c r="B4" s="419" t="s">
        <v>570</v>
      </c>
      <c r="C4" s="350"/>
      <c r="D4" s="350"/>
      <c r="E4" s="350"/>
      <c r="F4" s="350"/>
      <c r="G4" s="350"/>
      <c r="H4" s="350"/>
    </row>
    <row r="5" spans="1:11" ht="14.55" x14ac:dyDescent="0.35">
      <c r="B5" s="34" t="s">
        <v>560</v>
      </c>
    </row>
    <row r="6" spans="1:11" ht="14.55" x14ac:dyDescent="0.35">
      <c r="B6" s="34" t="s">
        <v>561</v>
      </c>
    </row>
    <row r="8" spans="1:11" s="119" customFormat="1" ht="14.55" x14ac:dyDescent="0.35">
      <c r="B8" s="579" t="s">
        <v>566</v>
      </c>
    </row>
    <row r="9" spans="1:11" ht="6" customHeight="1" x14ac:dyDescent="0.35"/>
    <row r="10" spans="1:11" ht="14.55" x14ac:dyDescent="0.35">
      <c r="C10" s="587" t="s">
        <v>567</v>
      </c>
      <c r="D10" s="588"/>
      <c r="E10" s="589" t="s">
        <v>281</v>
      </c>
    </row>
    <row r="11" spans="1:11" ht="14.55" x14ac:dyDescent="0.35">
      <c r="C11" s="580" t="s">
        <v>318</v>
      </c>
      <c r="D11" s="414" t="s">
        <v>416</v>
      </c>
      <c r="E11" s="545">
        <f>Historical_Rev!$E$25</f>
        <v>0</v>
      </c>
    </row>
    <row r="12" spans="1:11" ht="14.55" x14ac:dyDescent="0.35">
      <c r="C12" s="581" t="str">
        <f>"FTE-based, showing "&amp;Historical_FTE!$C$37</f>
        <v>FTE-based, showing all FTEs (paid, indirect, &amp; free)</v>
      </c>
      <c r="D12" s="415" t="s">
        <v>321</v>
      </c>
      <c r="E12" s="546">
        <f>Historical_FTE!$C$38</f>
        <v>0</v>
      </c>
    </row>
    <row r="13" spans="1:11" ht="14.55" x14ac:dyDescent="0.35">
      <c r="C13" s="581" t="s">
        <v>324</v>
      </c>
      <c r="D13" s="415" t="s">
        <v>431</v>
      </c>
      <c r="E13" s="546">
        <f ca="1">Historical_COCOMO!$D$37</f>
        <v>0</v>
      </c>
    </row>
    <row r="14" spans="1:11" ht="14.55" x14ac:dyDescent="0.35">
      <c r="C14" s="582" t="s">
        <v>325</v>
      </c>
      <c r="D14" s="416" t="s">
        <v>432</v>
      </c>
      <c r="E14" s="547">
        <f ca="1">Historical_COCOMO!$D$40</f>
        <v>0</v>
      </c>
    </row>
    <row r="15" spans="1:11" ht="7.95" customHeight="1" thickBot="1" x14ac:dyDescent="0.4">
      <c r="C15" s="583"/>
      <c r="D15" s="417"/>
      <c r="E15" s="412"/>
    </row>
    <row r="16" spans="1:11" ht="15" thickTop="1" x14ac:dyDescent="0.35">
      <c r="C16" s="584" t="s">
        <v>319</v>
      </c>
      <c r="D16" s="415" t="s">
        <v>322</v>
      </c>
      <c r="E16" s="410">
        <f ca="1">MEDIAN($E$11:$E$14)</f>
        <v>0</v>
      </c>
    </row>
    <row r="17" spans="2:5" ht="14.55" x14ac:dyDescent="0.35">
      <c r="C17" s="585" t="s">
        <v>320</v>
      </c>
      <c r="D17" s="418" t="s">
        <v>323</v>
      </c>
      <c r="E17" s="411">
        <f ca="1">AVERAGE($E$11:$E$14)</f>
        <v>0</v>
      </c>
    </row>
    <row r="19" spans="2:5" ht="14.55" x14ac:dyDescent="0.35">
      <c r="B19" s="579" t="s">
        <v>571</v>
      </c>
    </row>
    <row r="20" spans="2:5" ht="14.55" x14ac:dyDescent="0.35">
      <c r="C20" s="578" t="s">
        <v>562</v>
      </c>
    </row>
    <row r="21" spans="2:5" ht="14.55" x14ac:dyDescent="0.35">
      <c r="C21" s="119" t="s">
        <v>563</v>
      </c>
    </row>
    <row r="22" spans="2:5" ht="14.55" x14ac:dyDescent="0.35">
      <c r="C22" s="119" t="s">
        <v>564</v>
      </c>
    </row>
    <row r="23" spans="2:5" ht="14.55" x14ac:dyDescent="0.35">
      <c r="C23" s="119" t="s">
        <v>565</v>
      </c>
    </row>
    <row r="24" spans="2:5" ht="14.55" x14ac:dyDescent="0.35">
      <c r="C24" s="119" t="s">
        <v>568</v>
      </c>
    </row>
    <row r="26" spans="2:5" x14ac:dyDescent="0.3">
      <c r="C26" s="590" t="s">
        <v>574</v>
      </c>
      <c r="E26" s="532" t="s">
        <v>322</v>
      </c>
    </row>
    <row r="27" spans="2:5" x14ac:dyDescent="0.3">
      <c r="C27" s="420" t="s">
        <v>480</v>
      </c>
      <c r="E27" s="413">
        <f ca="1">VLOOKUP($E$26,$D$11:$E$17,2,0)</f>
        <v>0</v>
      </c>
    </row>
    <row r="28" spans="2:5" ht="14.55" x14ac:dyDescent="0.35">
      <c r="C28" s="533" t="s">
        <v>481</v>
      </c>
    </row>
  </sheetData>
  <sheetProtection algorithmName="SHA-512" hashValue="Fo1ZTyOjml8eUOeUxtCRww4Uxc4PklDnCKzVOymO00CSrg4GeHGlJtASyQ8Ei98j7JVhOT2FxxuBvOsKfus01A==" saltValue="oLgDwMrD7MAvgrlvg9Hftg==" spinCount="100000" sheet="1" objects="1" scenarios="1" formatCells="0" formatColumns="0" formatRows="0" insertColumns="0" insertRows="0" deleteColumns="0" deleteRows="0"/>
  <protectedRanges>
    <protectedRange sqref="C10:E17" name="SummaryReferences"/>
    <protectedRange sqref="C26:E28" name="Choice"/>
  </protectedRanges>
  <dataValidations disablePrompts="1" count="1">
    <dataValidation type="list" allowBlank="1" showInputMessage="1" showErrorMessage="1" sqref="E26">
      <formula1>$D$11:$D$17</formula1>
    </dataValidation>
  </dataValidations>
  <pageMargins left="0.7" right="0.7" top="0.75" bottom="0.75" header="0.3" footer="0.3"/>
  <pageSetup scale="77"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P72"/>
  <sheetViews>
    <sheetView showGridLines="0" zoomScale="75" zoomScaleNormal="75" workbookViewId="0">
      <pane ySplit="2" topLeftCell="A3" activePane="bottomLeft" state="frozen"/>
      <selection activeCell="B7" sqref="B7"/>
      <selection pane="bottomLeft"/>
    </sheetView>
  </sheetViews>
  <sheetFormatPr defaultRowHeight="14.4" x14ac:dyDescent="0.3"/>
  <cols>
    <col min="1" max="2" width="3.5546875" customWidth="1"/>
    <col min="3" max="3" width="20.6640625" customWidth="1"/>
    <col min="4" max="4" width="36.21875" bestFit="1" customWidth="1"/>
    <col min="5" max="5" width="20.109375" customWidth="1"/>
    <col min="6" max="6" width="23.5546875" customWidth="1"/>
    <col min="7" max="7" width="18.77734375" customWidth="1"/>
    <col min="8" max="8" width="1.21875" customWidth="1"/>
    <col min="9" max="9" width="29.109375" customWidth="1"/>
    <col min="10" max="10" width="15.77734375" customWidth="1"/>
    <col min="11" max="11" width="3.21875" customWidth="1"/>
    <col min="12" max="12" width="27.21875" customWidth="1"/>
    <col min="13" max="13" width="13.77734375" customWidth="1"/>
  </cols>
  <sheetData>
    <row r="2" spans="2:16" ht="15.45" x14ac:dyDescent="0.35">
      <c r="B2" s="16" t="str">
        <f>"Projection of ongoing development costs for "&amp;'Inputs--&gt;'!$C$7&amp;" through benchmark-based budgeting"</f>
        <v>Projection of ongoing development costs for [ sample GG ] through benchmark-based budgeting</v>
      </c>
      <c r="I2" s="2"/>
    </row>
    <row r="3" spans="2:16" ht="14.55" x14ac:dyDescent="0.35">
      <c r="B3" s="138" t="str">
        <f>"As of "&amp;TEXT('Inputs--&gt;'!$C$8,"MMMMMM yyyy")</f>
        <v>As of May 2019</v>
      </c>
      <c r="I3" s="2"/>
    </row>
    <row r="4" spans="2:16" ht="14.55" x14ac:dyDescent="0.35">
      <c r="C4" s="114"/>
      <c r="I4" s="4"/>
    </row>
    <row r="5" spans="2:16" ht="14.55" x14ac:dyDescent="0.35">
      <c r="B5" s="13" t="s">
        <v>49</v>
      </c>
      <c r="I5" s="4"/>
    </row>
    <row r="6" spans="2:16" ht="14.55" x14ac:dyDescent="0.35">
      <c r="B6" s="11" t="s">
        <v>518</v>
      </c>
      <c r="I6" s="4"/>
    </row>
    <row r="7" spans="2:16" ht="14.55" x14ac:dyDescent="0.35">
      <c r="B7" s="501" t="s">
        <v>483</v>
      </c>
      <c r="I7" s="4"/>
    </row>
    <row r="8" spans="2:16" ht="14.55" x14ac:dyDescent="0.35">
      <c r="B8" s="534" t="s">
        <v>429</v>
      </c>
      <c r="I8" s="4"/>
    </row>
    <row r="9" spans="2:16" ht="14.55" x14ac:dyDescent="0.35">
      <c r="B9" s="500" t="s">
        <v>430</v>
      </c>
      <c r="I9" s="4"/>
    </row>
    <row r="10" spans="2:16" ht="14.55" x14ac:dyDescent="0.35">
      <c r="B10" s="500" t="s">
        <v>482</v>
      </c>
      <c r="I10" s="4"/>
    </row>
    <row r="11" spans="2:16" ht="14.55" x14ac:dyDescent="0.35">
      <c r="B11" s="500" t="s">
        <v>484</v>
      </c>
      <c r="I11" s="4"/>
    </row>
    <row r="12" spans="2:16" ht="14.55" x14ac:dyDescent="0.35">
      <c r="C12" s="114"/>
      <c r="I12" s="4"/>
    </row>
    <row r="13" spans="2:16" ht="14.55" x14ac:dyDescent="0.35">
      <c r="B13" s="13" t="s">
        <v>253</v>
      </c>
      <c r="I13" s="4"/>
      <c r="J13" s="4"/>
      <c r="N13" s="4"/>
      <c r="O13" s="2"/>
      <c r="P13" s="3"/>
    </row>
    <row r="14" spans="2:16" ht="13.05" customHeight="1" x14ac:dyDescent="0.35">
      <c r="C14" s="30"/>
      <c r="I14" s="353"/>
      <c r="J14" s="353"/>
    </row>
    <row r="15" spans="2:16" ht="15.45" x14ac:dyDescent="0.35">
      <c r="B15" s="30" t="s">
        <v>552</v>
      </c>
      <c r="I15" s="353"/>
      <c r="J15" s="503" t="str">
        <f>InterimSummary!$E$26&amp;"-based"</f>
        <v>median-based</v>
      </c>
    </row>
    <row r="16" spans="2:16" ht="6" customHeight="1" x14ac:dyDescent="0.35">
      <c r="I16" s="353"/>
    </row>
    <row r="17" spans="2:10" x14ac:dyDescent="0.3">
      <c r="C17" s="505" t="s">
        <v>485</v>
      </c>
      <c r="I17" s="353"/>
      <c r="J17" s="354">
        <f ca="1">InterimSummary!$E$27</f>
        <v>0</v>
      </c>
    </row>
    <row r="18" spans="2:10" x14ac:dyDescent="0.3">
      <c r="C18" s="102" t="s">
        <v>486</v>
      </c>
      <c r="I18" s="353"/>
      <c r="J18" s="209">
        <f ca="1">J17</f>
        <v>0</v>
      </c>
    </row>
    <row r="19" spans="2:10" ht="14.55" x14ac:dyDescent="0.35">
      <c r="C19" s="102"/>
      <c r="I19" s="353"/>
      <c r="J19" s="353"/>
    </row>
    <row r="20" spans="2:10" x14ac:dyDescent="0.3">
      <c r="C20" s="505" t="s">
        <v>433</v>
      </c>
      <c r="I20" s="353"/>
      <c r="J20" s="353"/>
    </row>
    <row r="21" spans="2:10" ht="14.55" x14ac:dyDescent="0.35">
      <c r="I21" s="353"/>
    </row>
    <row r="22" spans="2:10" ht="14.55" x14ac:dyDescent="0.35">
      <c r="C22" s="17" t="s">
        <v>425</v>
      </c>
    </row>
    <row r="23" spans="2:10" ht="15.45" x14ac:dyDescent="0.35">
      <c r="C23" s="92" t="s">
        <v>311</v>
      </c>
      <c r="D23" s="92" t="s">
        <v>297</v>
      </c>
      <c r="E23" s="92" t="s">
        <v>293</v>
      </c>
      <c r="F23" s="92" t="s">
        <v>293</v>
      </c>
      <c r="G23" s="92" t="s">
        <v>293</v>
      </c>
      <c r="I23" s="298" t="s">
        <v>215</v>
      </c>
      <c r="J23" s="299"/>
    </row>
    <row r="24" spans="2:10" ht="15.45" x14ac:dyDescent="0.35">
      <c r="C24" s="92" t="s">
        <v>312</v>
      </c>
      <c r="D24" s="92" t="s">
        <v>296</v>
      </c>
      <c r="E24" s="92" t="s">
        <v>292</v>
      </c>
      <c r="F24" s="92" t="s">
        <v>294</v>
      </c>
      <c r="G24" s="92" t="s">
        <v>295</v>
      </c>
      <c r="H24" s="1"/>
      <c r="I24" s="361" t="s">
        <v>308</v>
      </c>
      <c r="J24" s="362" t="s">
        <v>309</v>
      </c>
    </row>
    <row r="25" spans="2:10" ht="46.95" thickBot="1" x14ac:dyDescent="0.4">
      <c r="C25" s="371" t="s">
        <v>368</v>
      </c>
      <c r="D25" s="188" t="s">
        <v>176</v>
      </c>
      <c r="E25" s="188"/>
      <c r="F25" s="188"/>
      <c r="G25" s="189"/>
      <c r="I25" s="190">
        <v>0.25</v>
      </c>
      <c r="J25" s="365">
        <f ca="1">$I$25*$J$18</f>
        <v>0</v>
      </c>
    </row>
    <row r="26" spans="2:10" ht="15" thickTop="1" x14ac:dyDescent="0.35"/>
    <row r="27" spans="2:10" ht="15.45" x14ac:dyDescent="0.35">
      <c r="B27" s="30" t="s">
        <v>553</v>
      </c>
    </row>
    <row r="28" spans="2:10" ht="6" customHeight="1" x14ac:dyDescent="0.35"/>
    <row r="29" spans="2:10" x14ac:dyDescent="0.3">
      <c r="C29" s="501" t="s">
        <v>435</v>
      </c>
    </row>
    <row r="30" spans="2:10" ht="14.55" x14ac:dyDescent="0.35">
      <c r="C30" s="504" t="s">
        <v>434</v>
      </c>
    </row>
    <row r="31" spans="2:10" ht="14.55" x14ac:dyDescent="0.35">
      <c r="C31" s="504" t="s">
        <v>487</v>
      </c>
    </row>
    <row r="32" spans="2:10" ht="14.55" x14ac:dyDescent="0.35">
      <c r="C32" s="504" t="s">
        <v>205</v>
      </c>
    </row>
    <row r="34" spans="1:13" x14ac:dyDescent="0.3">
      <c r="C34" s="17" t="s">
        <v>426</v>
      </c>
    </row>
    <row r="35" spans="1:13" ht="15.6" x14ac:dyDescent="0.3">
      <c r="C35" s="366" t="s">
        <v>194</v>
      </c>
      <c r="D35" s="367"/>
      <c r="E35" s="367"/>
      <c r="F35" s="367"/>
      <c r="G35" s="368"/>
    </row>
    <row r="36" spans="1:13" ht="31.2" x14ac:dyDescent="0.3">
      <c r="C36" s="369" t="s">
        <v>0</v>
      </c>
      <c r="D36" s="370" t="s">
        <v>310</v>
      </c>
      <c r="E36" s="370" t="s">
        <v>304</v>
      </c>
      <c r="F36" s="370" t="s">
        <v>305</v>
      </c>
      <c r="G36" s="370" t="s">
        <v>306</v>
      </c>
      <c r="H36" s="1"/>
      <c r="I36" s="363" t="s">
        <v>384</v>
      </c>
      <c r="J36" s="364" t="s">
        <v>307</v>
      </c>
    </row>
    <row r="37" spans="1:13" ht="45.45" customHeight="1" x14ac:dyDescent="0.3">
      <c r="C37" s="182" t="s">
        <v>501</v>
      </c>
      <c r="D37" s="184" t="s">
        <v>298</v>
      </c>
      <c r="E37" s="184">
        <v>0.6</v>
      </c>
      <c r="F37" s="184" t="s">
        <v>193</v>
      </c>
      <c r="G37" s="183">
        <v>0.6</v>
      </c>
      <c r="I37" s="167">
        <v>0.6</v>
      </c>
      <c r="J37" s="360">
        <f ca="1">$I37*$J$25</f>
        <v>0</v>
      </c>
    </row>
    <row r="38" spans="1:13" ht="45.45" customHeight="1" x14ac:dyDescent="0.3">
      <c r="C38" s="182" t="s">
        <v>502</v>
      </c>
      <c r="D38" s="184">
        <v>0.3</v>
      </c>
      <c r="E38" s="168">
        <v>0.08</v>
      </c>
      <c r="F38" s="168">
        <v>0.08</v>
      </c>
      <c r="G38" s="183">
        <v>0.02</v>
      </c>
      <c r="I38" s="167">
        <v>0.3</v>
      </c>
      <c r="J38" s="360">
        <f t="shared" ref="J38:J40" ca="1" si="0">$I38*$J$25</f>
        <v>0</v>
      </c>
    </row>
    <row r="39" spans="1:13" ht="29.55" customHeight="1" x14ac:dyDescent="0.3">
      <c r="C39" s="182" t="s">
        <v>503</v>
      </c>
      <c r="D39" s="169"/>
      <c r="E39" s="169" t="s">
        <v>134</v>
      </c>
      <c r="F39" s="184">
        <v>0.15</v>
      </c>
      <c r="G39" s="183">
        <v>0.26</v>
      </c>
      <c r="I39" s="167">
        <v>0</v>
      </c>
      <c r="J39" s="360">
        <f t="shared" ca="1" si="0"/>
        <v>0</v>
      </c>
    </row>
    <row r="40" spans="1:13" ht="29.55" customHeight="1" x14ac:dyDescent="0.3">
      <c r="C40" s="185" t="s">
        <v>504</v>
      </c>
      <c r="D40" s="170"/>
      <c r="E40" s="186">
        <v>0.32</v>
      </c>
      <c r="F40" s="186">
        <v>0.22</v>
      </c>
      <c r="G40" s="187">
        <v>0.13</v>
      </c>
      <c r="I40" s="167">
        <v>0.1</v>
      </c>
      <c r="J40" s="360">
        <f t="shared" ca="1" si="0"/>
        <v>0</v>
      </c>
    </row>
    <row r="41" spans="1:13" ht="15" thickBot="1" x14ac:dyDescent="0.35">
      <c r="A41" s="1"/>
      <c r="B41" s="1"/>
      <c r="I41" s="219" t="s">
        <v>303</v>
      </c>
      <c r="J41" s="352">
        <f ca="1">SUM(J37:J40)</f>
        <v>0</v>
      </c>
      <c r="K41" s="1"/>
    </row>
    <row r="42" spans="1:13" ht="15" thickTop="1" x14ac:dyDescent="0.3">
      <c r="A42" s="1"/>
      <c r="B42" s="1"/>
      <c r="G42" s="239" t="s">
        <v>177</v>
      </c>
      <c r="I42" s="241">
        <f>SUM(I37:I40)-1</f>
        <v>0</v>
      </c>
      <c r="J42" s="241">
        <f ca="1">ROUND(SUM(I37:I40)*J25-J41+SUM(I37:I40)-1+J25-J41,4)</f>
        <v>0</v>
      </c>
      <c r="L42" s="241">
        <f>ROUND(SUM(I57:I60)-1+J54-J61,4)</f>
        <v>0</v>
      </c>
      <c r="M42" s="241">
        <f>SUM(I57:I60)*J54-J61</f>
        <v>0</v>
      </c>
    </row>
    <row r="43" spans="1:13" ht="6" customHeight="1" x14ac:dyDescent="0.3">
      <c r="A43" s="1"/>
      <c r="B43" s="1"/>
      <c r="G43" s="239"/>
      <c r="I43" s="436"/>
      <c r="J43" s="241"/>
      <c r="L43" s="241"/>
      <c r="M43" s="241"/>
    </row>
    <row r="44" spans="1:13" ht="15.6" x14ac:dyDescent="0.3">
      <c r="A44" s="1"/>
      <c r="B44" s="30" t="s">
        <v>554</v>
      </c>
      <c r="G44" s="239"/>
      <c r="I44" s="241"/>
      <c r="J44" s="241"/>
      <c r="L44" s="241"/>
      <c r="M44" s="241"/>
    </row>
    <row r="45" spans="1:13" ht="6" customHeight="1" x14ac:dyDescent="0.3">
      <c r="A45" s="1"/>
      <c r="B45" s="1"/>
      <c r="C45" s="30"/>
      <c r="G45" s="239"/>
      <c r="I45" s="241"/>
      <c r="J45" s="241"/>
      <c r="L45" s="241"/>
      <c r="M45" s="241"/>
    </row>
    <row r="46" spans="1:13" x14ac:dyDescent="0.3">
      <c r="A46" s="1"/>
      <c r="B46" s="1"/>
      <c r="C46" s="501" t="s">
        <v>436</v>
      </c>
      <c r="G46" s="239"/>
      <c r="I46" s="241"/>
      <c r="J46" s="241"/>
      <c r="L46" s="241"/>
      <c r="M46" s="241"/>
    </row>
    <row r="47" spans="1:13" x14ac:dyDescent="0.3">
      <c r="A47" s="1"/>
      <c r="B47" s="1"/>
      <c r="C47" s="501" t="s">
        <v>437</v>
      </c>
      <c r="G47" s="239"/>
      <c r="I47" s="241"/>
      <c r="J47" s="241"/>
      <c r="L47" s="241"/>
      <c r="M47" s="241"/>
    </row>
    <row r="48" spans="1:13" x14ac:dyDescent="0.3">
      <c r="A48" s="1"/>
      <c r="B48" s="1"/>
      <c r="C48" s="501" t="s">
        <v>488</v>
      </c>
      <c r="G48" s="239"/>
      <c r="I48" s="241"/>
      <c r="J48" s="241"/>
      <c r="L48" s="241"/>
      <c r="M48" s="241"/>
    </row>
    <row r="49" spans="1:13" ht="9" customHeight="1" x14ac:dyDescent="0.3">
      <c r="A49" s="1"/>
      <c r="B49" s="1"/>
      <c r="C49" s="501"/>
      <c r="G49" s="239"/>
      <c r="I49" s="241"/>
      <c r="J49" s="241"/>
      <c r="L49" s="241"/>
      <c r="M49" s="241"/>
    </row>
    <row r="50" spans="1:13" ht="9" customHeight="1" x14ac:dyDescent="0.3">
      <c r="A50" s="1"/>
      <c r="B50" s="1"/>
      <c r="C50" s="30"/>
      <c r="G50" s="239"/>
      <c r="I50" s="241"/>
      <c r="J50" s="241"/>
      <c r="L50" s="241"/>
      <c r="M50" s="241"/>
    </row>
    <row r="51" spans="1:13" ht="15.6" x14ac:dyDescent="0.3">
      <c r="A51" s="1"/>
      <c r="B51" s="1"/>
      <c r="C51" s="421" t="s">
        <v>555</v>
      </c>
      <c r="G51" s="239"/>
      <c r="I51" s="241"/>
      <c r="J51" s="241"/>
      <c r="L51" s="241"/>
      <c r="M51" s="241"/>
    </row>
    <row r="52" spans="1:13" x14ac:dyDescent="0.3">
      <c r="A52" s="1"/>
      <c r="B52" s="1"/>
      <c r="C52" s="103" t="s">
        <v>195</v>
      </c>
      <c r="D52" s="372"/>
      <c r="E52" s="372"/>
      <c r="F52" s="372"/>
      <c r="G52" s="373"/>
      <c r="H52" s="372"/>
      <c r="I52" s="372"/>
      <c r="J52" s="372"/>
      <c r="L52" s="241"/>
      <c r="M52" s="241"/>
    </row>
    <row r="53" spans="1:13" ht="7.95" customHeight="1" x14ac:dyDescent="0.3">
      <c r="A53" s="1"/>
      <c r="B53" s="1"/>
      <c r="C53" s="422"/>
      <c r="D53" s="105"/>
      <c r="E53" s="105"/>
      <c r="F53" s="105"/>
      <c r="G53" s="423"/>
      <c r="H53" s="105"/>
      <c r="I53" s="105"/>
      <c r="J53" s="106"/>
      <c r="L53" s="241"/>
      <c r="M53" s="241"/>
    </row>
    <row r="54" spans="1:13" ht="15.6" x14ac:dyDescent="0.3">
      <c r="A54" s="1"/>
      <c r="B54" s="1"/>
      <c r="C54" s="424" t="s">
        <v>349</v>
      </c>
      <c r="D54" s="1"/>
      <c r="E54" s="1"/>
      <c r="F54" s="1"/>
      <c r="G54" s="425"/>
      <c r="H54" s="1"/>
      <c r="I54" s="1"/>
      <c r="J54" s="351">
        <v>0</v>
      </c>
      <c r="L54" s="241"/>
      <c r="M54" s="241"/>
    </row>
    <row r="55" spans="1:13" ht="6" customHeight="1" x14ac:dyDescent="0.3">
      <c r="A55" s="1"/>
      <c r="B55" s="1"/>
      <c r="C55" s="426"/>
      <c r="D55" s="1"/>
      <c r="E55" s="1"/>
      <c r="F55" s="1"/>
      <c r="G55" s="425"/>
      <c r="H55" s="1"/>
      <c r="I55" s="1"/>
      <c r="J55" s="427"/>
      <c r="L55" s="241"/>
      <c r="M55" s="241"/>
    </row>
    <row r="56" spans="1:13" ht="15.6" x14ac:dyDescent="0.3">
      <c r="A56" s="1"/>
      <c r="B56" s="1"/>
      <c r="C56" s="428" t="s">
        <v>299</v>
      </c>
      <c r="D56" s="1"/>
      <c r="E56" s="1"/>
      <c r="F56" s="1"/>
      <c r="G56" s="425"/>
      <c r="H56" s="1"/>
      <c r="I56" s="429" t="s">
        <v>385</v>
      </c>
      <c r="J56" s="427"/>
      <c r="L56" s="241"/>
      <c r="M56" s="241"/>
    </row>
    <row r="57" spans="1:13" ht="15.6" x14ac:dyDescent="0.3">
      <c r="A57" s="1"/>
      <c r="B57" s="1"/>
      <c r="C57" s="424" t="s">
        <v>350</v>
      </c>
      <c r="D57" s="355"/>
      <c r="E57" s="1"/>
      <c r="F57" s="1"/>
      <c r="G57" s="425"/>
      <c r="H57" s="1"/>
      <c r="I57" s="167">
        <v>0.6</v>
      </c>
      <c r="J57" s="360">
        <f>I57*$J$54</f>
        <v>0</v>
      </c>
      <c r="L57" s="241"/>
      <c r="M57" s="241"/>
    </row>
    <row r="58" spans="1:13" ht="15.6" x14ac:dyDescent="0.3">
      <c r="A58" s="1"/>
      <c r="B58" s="1"/>
      <c r="C58" s="424" t="s">
        <v>351</v>
      </c>
      <c r="D58" s="355"/>
      <c r="E58" s="1"/>
      <c r="F58" s="1"/>
      <c r="G58" s="425"/>
      <c r="H58" s="1"/>
      <c r="I58" s="167">
        <v>0.3</v>
      </c>
      <c r="J58" s="360">
        <f>I58*$J$54</f>
        <v>0</v>
      </c>
      <c r="L58" s="241"/>
      <c r="M58" s="241"/>
    </row>
    <row r="59" spans="1:13" ht="15.6" x14ac:dyDescent="0.3">
      <c r="A59" s="1"/>
      <c r="B59" s="1"/>
      <c r="C59" s="424" t="s">
        <v>352</v>
      </c>
      <c r="D59" s="355"/>
      <c r="E59" s="1"/>
      <c r="F59" s="1"/>
      <c r="G59" s="425"/>
      <c r="H59" s="1"/>
      <c r="I59" s="167">
        <v>0</v>
      </c>
      <c r="J59" s="360">
        <f>I59*$J$54</f>
        <v>0</v>
      </c>
      <c r="L59" s="241"/>
      <c r="M59" s="241"/>
    </row>
    <row r="60" spans="1:13" ht="15.6" x14ac:dyDescent="0.3">
      <c r="A60" s="1"/>
      <c r="B60" s="1"/>
      <c r="C60" s="424" t="s">
        <v>353</v>
      </c>
      <c r="D60" s="355"/>
      <c r="E60" s="1"/>
      <c r="F60" s="1"/>
      <c r="G60" s="425"/>
      <c r="H60" s="1"/>
      <c r="I60" s="167">
        <v>0.1</v>
      </c>
      <c r="J60" s="360">
        <f>I60*$J$54</f>
        <v>0</v>
      </c>
      <c r="L60" s="241"/>
      <c r="M60" s="241"/>
    </row>
    <row r="61" spans="1:13" ht="15" thickBot="1" x14ac:dyDescent="0.35">
      <c r="A61" s="1"/>
      <c r="B61" s="1"/>
      <c r="C61" s="431"/>
      <c r="D61" s="155"/>
      <c r="E61" s="155"/>
      <c r="F61" s="155"/>
      <c r="G61" s="432"/>
      <c r="H61" s="155"/>
      <c r="I61" s="219" t="s">
        <v>302</v>
      </c>
      <c r="J61" s="430">
        <f>SUM(J57:J60)</f>
        <v>0</v>
      </c>
      <c r="L61" s="241"/>
      <c r="M61" s="241"/>
    </row>
    <row r="62" spans="1:13" ht="15" thickTop="1" x14ac:dyDescent="0.3">
      <c r="A62" s="1"/>
      <c r="B62" s="1"/>
      <c r="C62" s="1"/>
      <c r="D62" s="1"/>
      <c r="E62" s="1"/>
      <c r="F62" s="1"/>
      <c r="G62" s="239" t="s">
        <v>177</v>
      </c>
      <c r="H62" s="1"/>
      <c r="I62" s="241">
        <f>SUM(I57:I60)-1</f>
        <v>0</v>
      </c>
      <c r="J62" s="241">
        <f>ROUND(SUM(I57:I60)*J54-J61+SUM(I57:I60)-1+J54-J61,3)</f>
        <v>0</v>
      </c>
      <c r="L62" s="241"/>
      <c r="M62" s="241"/>
    </row>
    <row r="63" spans="1:13" ht="15.6" x14ac:dyDescent="0.3">
      <c r="A63" s="1"/>
      <c r="C63" s="30" t="s">
        <v>354</v>
      </c>
      <c r="I63" s="17"/>
      <c r="J63" s="17"/>
      <c r="L63" s="17"/>
    </row>
    <row r="64" spans="1:13" ht="6" customHeight="1" x14ac:dyDescent="0.3">
      <c r="A64" s="1"/>
      <c r="B64" s="1"/>
      <c r="C64" s="30"/>
      <c r="I64" s="17"/>
      <c r="J64" s="17"/>
      <c r="L64" s="17"/>
    </row>
    <row r="65" spans="3:12" ht="31.2" x14ac:dyDescent="0.3">
      <c r="C65" s="433" t="s">
        <v>0</v>
      </c>
      <c r="D65" s="434" t="s">
        <v>6</v>
      </c>
      <c r="E65" s="434" t="s">
        <v>304</v>
      </c>
      <c r="F65" s="434" t="s">
        <v>305</v>
      </c>
      <c r="G65" s="435" t="s">
        <v>306</v>
      </c>
      <c r="I65" s="17"/>
      <c r="J65" s="17"/>
      <c r="L65" s="17"/>
    </row>
    <row r="66" spans="3:12" ht="252" x14ac:dyDescent="0.3">
      <c r="C66" s="115" t="s">
        <v>107</v>
      </c>
      <c r="D66" s="127" t="s">
        <v>386</v>
      </c>
      <c r="E66" s="121" t="s">
        <v>393</v>
      </c>
      <c r="F66" s="121" t="s">
        <v>392</v>
      </c>
      <c r="G66" s="122" t="s">
        <v>391</v>
      </c>
      <c r="I66" s="17"/>
      <c r="J66" s="17"/>
      <c r="L66" s="17"/>
    </row>
    <row r="67" spans="3:12" ht="120.45" customHeight="1" x14ac:dyDescent="0.3">
      <c r="C67" s="116" t="s">
        <v>4</v>
      </c>
      <c r="D67" s="128" t="s">
        <v>499</v>
      </c>
      <c r="E67" s="121" t="s">
        <v>394</v>
      </c>
      <c r="F67" s="121" t="s">
        <v>141</v>
      </c>
      <c r="G67" s="123" t="s">
        <v>140</v>
      </c>
      <c r="I67" s="17"/>
      <c r="J67" s="17"/>
      <c r="L67" s="17"/>
    </row>
    <row r="68" spans="3:12" ht="141" customHeight="1" x14ac:dyDescent="0.3">
      <c r="C68" s="116" t="s">
        <v>5</v>
      </c>
      <c r="D68" s="128" t="s">
        <v>207</v>
      </c>
      <c r="E68" s="124" t="s">
        <v>146</v>
      </c>
      <c r="F68" s="124" t="s">
        <v>135</v>
      </c>
      <c r="G68" s="123" t="s">
        <v>136</v>
      </c>
      <c r="I68" s="17"/>
      <c r="J68" s="17"/>
      <c r="L68" s="17"/>
    </row>
    <row r="69" spans="3:12" ht="93.45" customHeight="1" x14ac:dyDescent="0.3">
      <c r="C69" s="117" t="s">
        <v>3</v>
      </c>
      <c r="D69" s="129" t="s">
        <v>48</v>
      </c>
      <c r="E69" s="125" t="s">
        <v>138</v>
      </c>
      <c r="F69" s="125" t="s">
        <v>137</v>
      </c>
      <c r="G69" s="126" t="s">
        <v>139</v>
      </c>
      <c r="I69" s="17"/>
      <c r="J69" s="17"/>
      <c r="L69" s="17"/>
    </row>
    <row r="70" spans="3:12" x14ac:dyDescent="0.3">
      <c r="C70" t="s">
        <v>519</v>
      </c>
      <c r="I70" s="17"/>
      <c r="J70" s="17"/>
      <c r="L70" s="17"/>
    </row>
    <row r="71" spans="3:12" ht="15" x14ac:dyDescent="0.3">
      <c r="E71" s="120"/>
      <c r="F71" s="120"/>
      <c r="G71" s="120"/>
      <c r="I71" s="17"/>
      <c r="J71" s="17"/>
      <c r="L71" s="17"/>
    </row>
    <row r="72" spans="3:12" x14ac:dyDescent="0.3">
      <c r="I72" s="17"/>
      <c r="J72" s="17"/>
      <c r="K72" s="17"/>
      <c r="L72" s="17"/>
    </row>
  </sheetData>
  <sheetProtection algorithmName="SHA-512" hashValue="vyjtFGW7yIZRglkDE4wHsuomkRN1evNBau69em1xmUUbAAgDT/YkxxlPIix6RM5mFgnsCj+uhvX+gMtq15aQWw==" saltValue="tcZT27TI/BIVRyZCxAeaiw==" spinCount="100000" sheet="1" objects="1" scenarios="1" formatCells="0" formatColumns="0" formatRows="0" insertColumns="0" insertRows="0" deleteColumns="0" deleteRows="0"/>
  <protectedRanges>
    <protectedRange sqref="I54:J62" name="AddtSpendBenchmarksDollars"/>
    <protectedRange sqref="D23:K26 D35:K42 C63:K70" name="Benchmarks"/>
    <protectedRange sqref="J15:J18" name="OrgDevCost"/>
  </protectedRanges>
  <pageMargins left="0.25" right="0.25" top="0.75" bottom="0.75" header="0.3" footer="0.3"/>
  <pageSetup scale="58"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C8"/>
  <sheetViews>
    <sheetView showGridLines="0" zoomScale="95" zoomScaleNormal="95" workbookViewId="0"/>
  </sheetViews>
  <sheetFormatPr defaultRowHeight="14.4" x14ac:dyDescent="0.3"/>
  <cols>
    <col min="2" max="2" width="3.109375" customWidth="1"/>
  </cols>
  <sheetData>
    <row r="8" spans="3:3" x14ac:dyDescent="0.3">
      <c r="C8" s="34" t="s">
        <v>145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I49"/>
  <sheetViews>
    <sheetView showGridLines="0" zoomScale="80" zoomScaleNormal="80" workbookViewId="0"/>
  </sheetViews>
  <sheetFormatPr defaultRowHeight="14.4" x14ac:dyDescent="0.3"/>
  <cols>
    <col min="1" max="1" width="3.88671875" customWidth="1"/>
    <col min="2" max="2" width="36.77734375" customWidth="1"/>
    <col min="3" max="3" width="45.44140625" customWidth="1"/>
    <col min="4" max="4" width="6" customWidth="1"/>
    <col min="5" max="5" width="16.33203125" bestFit="1" customWidth="1"/>
    <col min="6" max="6" width="8.44140625" customWidth="1"/>
    <col min="7" max="7" width="26.88671875" customWidth="1"/>
    <col min="8" max="8" width="11.77734375" customWidth="1"/>
  </cols>
  <sheetData>
    <row r="2" spans="1:8" ht="18.45" x14ac:dyDescent="0.45">
      <c r="B2" s="130" t="s">
        <v>148</v>
      </c>
    </row>
    <row r="3" spans="1:8" ht="15" customHeight="1" x14ac:dyDescent="0.35">
      <c r="B3" s="16" t="str">
        <f>'Inputs--&gt;'!$C$7</f>
        <v>[ sample GG ]</v>
      </c>
      <c r="H3" s="242"/>
    </row>
    <row r="4" spans="1:8" ht="15" customHeight="1" x14ac:dyDescent="0.35">
      <c r="B4" s="138" t="str">
        <f>"As of "&amp;TEXT('Inputs--&gt;'!$C$8,"MMMMMM yyyy")</f>
        <v>As of May 2019</v>
      </c>
      <c r="C4" s="139"/>
      <c r="D4" s="1"/>
    </row>
    <row r="5" spans="1:8" ht="15" customHeight="1" thickBot="1" x14ac:dyDescent="0.4"/>
    <row r="6" spans="1:8" x14ac:dyDescent="0.3">
      <c r="B6" s="599" t="s">
        <v>300</v>
      </c>
      <c r="C6" s="178" t="s">
        <v>52</v>
      </c>
      <c r="D6" s="271"/>
      <c r="E6" s="358">
        <f>Historical_Rev!$N$74</f>
        <v>0</v>
      </c>
    </row>
    <row r="7" spans="1:8" x14ac:dyDescent="0.3">
      <c r="B7" s="600"/>
      <c r="C7" s="19" t="str">
        <f>"FTE-based, showing "&amp;Historical_FTE!$C$37</f>
        <v>FTE-based, showing all FTEs (paid, indirect, &amp; free)</v>
      </c>
      <c r="D7" s="272"/>
      <c r="E7" s="359">
        <f>Historical_FTE!$C$38</f>
        <v>0</v>
      </c>
      <c r="G7" s="11" t="s">
        <v>374</v>
      </c>
      <c r="H7" s="101"/>
    </row>
    <row r="8" spans="1:8" x14ac:dyDescent="0.3">
      <c r="B8" s="600"/>
      <c r="C8" s="19" t="s">
        <v>324</v>
      </c>
      <c r="D8" s="272"/>
      <c r="E8" s="359">
        <f ca="1">Historical_COCOMO!$D$37</f>
        <v>0</v>
      </c>
      <c r="G8" s="114"/>
      <c r="H8" s="101"/>
    </row>
    <row r="9" spans="1:8" ht="15" thickBot="1" x14ac:dyDescent="0.35">
      <c r="B9" s="600"/>
      <c r="C9" s="391" t="str">
        <f>"Adjusted Code-based (COCOMO/"&amp;TEXT(Historical_COCOMO!$D$39,"##.#")&amp;")"</f>
        <v>Adjusted Code-based (COCOMO/2.5)</v>
      </c>
      <c r="D9" s="392"/>
      <c r="E9" s="393">
        <f ca="1">Historical_COCOMO!$D$40</f>
        <v>0</v>
      </c>
      <c r="G9" s="11" t="s">
        <v>527</v>
      </c>
      <c r="H9" s="101"/>
    </row>
    <row r="10" spans="1:8" ht="15" thickTop="1" x14ac:dyDescent="0.3">
      <c r="B10" s="601"/>
      <c r="C10" s="440" t="s">
        <v>355</v>
      </c>
      <c r="D10" s="437"/>
      <c r="E10" s="586" t="str">
        <f t="array" aca="1" ref="E10" ca="1">IF($E$6:$E$9&lt;&gt;0,MEDIAN($E$6:$E$9),"Not Applicable")</f>
        <v>Not Applicable</v>
      </c>
      <c r="G10" s="11"/>
      <c r="H10" s="101"/>
    </row>
    <row r="11" spans="1:8" ht="15" thickBot="1" x14ac:dyDescent="0.35">
      <c r="A11" s="2"/>
      <c r="B11" s="602"/>
      <c r="C11" s="441" t="s">
        <v>369</v>
      </c>
      <c r="D11" s="438"/>
      <c r="E11" s="439">
        <f t="array" aca="1" ref="E11" ca="1">IF(SUM(E6:E9)=0,0,AVERAGEIF($E$6:$E$9,"&lt;&gt;0",$E$6:$E$9))</f>
        <v>0</v>
      </c>
      <c r="F11" s="36"/>
      <c r="H11" s="101"/>
    </row>
    <row r="12" spans="1:8" ht="15" thickBot="1" x14ac:dyDescent="0.4">
      <c r="A12" s="2"/>
      <c r="B12" s="9"/>
      <c r="C12" s="5"/>
      <c r="D12" s="273"/>
      <c r="E12" s="10"/>
      <c r="F12" s="2"/>
    </row>
    <row r="13" spans="1:8" x14ac:dyDescent="0.3">
      <c r="B13" s="594" t="s">
        <v>301</v>
      </c>
      <c r="C13" s="390" t="s">
        <v>317</v>
      </c>
      <c r="D13" s="388"/>
      <c r="E13" s="356"/>
      <c r="G13" s="536" t="str">
        <f>'Inputs--&gt;'!$C$7&amp;"'s as % of Typ. Annual"</f>
        <v>[ sample GG ]'s as % of Typ. Annual</v>
      </c>
      <c r="H13" s="163" t="s">
        <v>191</v>
      </c>
    </row>
    <row r="14" spans="1:8" x14ac:dyDescent="0.3">
      <c r="B14" s="595"/>
      <c r="C14" s="389" t="s">
        <v>73</v>
      </c>
      <c r="D14" s="272"/>
      <c r="E14" s="357">
        <f ca="1">(Ongoing_Dev!$J$37)</f>
        <v>0</v>
      </c>
      <c r="G14" s="537">
        <f ca="1">IF(E14=0,0,E14/$E$18)</f>
        <v>0</v>
      </c>
      <c r="H14" s="176" t="s">
        <v>498</v>
      </c>
    </row>
    <row r="15" spans="1:8" x14ac:dyDescent="0.3">
      <c r="B15" s="596"/>
      <c r="C15" s="383" t="s">
        <v>4</v>
      </c>
      <c r="D15" s="272"/>
      <c r="E15" s="357">
        <f ca="1">Ongoing_Dev!$J$38</f>
        <v>0</v>
      </c>
      <c r="G15" s="537">
        <f t="shared" ref="G15:G16" ca="1" si="0">IF(E15=0,0,E15/$E$18)</f>
        <v>0</v>
      </c>
      <c r="H15" s="176" t="s">
        <v>190</v>
      </c>
    </row>
    <row r="16" spans="1:8" x14ac:dyDescent="0.3">
      <c r="B16" s="596"/>
      <c r="C16" s="383" t="s">
        <v>5</v>
      </c>
      <c r="D16" s="272"/>
      <c r="E16" s="357">
        <f ca="1">Ongoing_Dev!$J$39</f>
        <v>0</v>
      </c>
      <c r="G16" s="537">
        <f t="shared" ca="1" si="0"/>
        <v>0</v>
      </c>
      <c r="H16" s="181" t="s">
        <v>134</v>
      </c>
    </row>
    <row r="17" spans="2:9" x14ac:dyDescent="0.3">
      <c r="B17" s="596"/>
      <c r="C17" s="383" t="s">
        <v>3</v>
      </c>
      <c r="D17" s="272"/>
      <c r="E17" s="357">
        <f ca="1">Ongoing_Dev!$J$40</f>
        <v>0</v>
      </c>
      <c r="G17" s="537">
        <f ca="1">IF(E17=0,0,E17/$E$18)</f>
        <v>0</v>
      </c>
      <c r="H17" s="181" t="s">
        <v>189</v>
      </c>
    </row>
    <row r="18" spans="2:9" x14ac:dyDescent="0.3">
      <c r="B18" s="596"/>
      <c r="C18" s="374" t="s">
        <v>314</v>
      </c>
      <c r="D18" s="272"/>
      <c r="E18" s="376">
        <f ca="1">SUM(E14:E17)</f>
        <v>0</v>
      </c>
      <c r="G18" s="537">
        <f ca="1">IF(E18=0,0,E18/$E$18)</f>
        <v>0</v>
      </c>
      <c r="H18" s="176"/>
    </row>
    <row r="19" spans="2:9" ht="8.5500000000000007" customHeight="1" x14ac:dyDescent="0.3">
      <c r="B19" s="596"/>
      <c r="C19" s="387"/>
      <c r="D19" s="380"/>
      <c r="E19" s="381"/>
      <c r="G19" s="535"/>
      <c r="H19" s="181"/>
    </row>
    <row r="20" spans="2:9" x14ac:dyDescent="0.3">
      <c r="B20" s="597"/>
      <c r="C20" s="384" t="s">
        <v>313</v>
      </c>
      <c r="D20" s="385"/>
      <c r="E20" s="386"/>
      <c r="G20" s="536" t="str">
        <f>'Inputs--&gt;'!$C$7&amp;"'s as % of Addt. Major"</f>
        <v>[ sample GG ]'s as % of Addt. Major</v>
      </c>
      <c r="H20" s="181"/>
    </row>
    <row r="21" spans="2:9" x14ac:dyDescent="0.3">
      <c r="B21" s="597"/>
      <c r="C21" s="383" t="s">
        <v>73</v>
      </c>
      <c r="D21" s="272"/>
      <c r="E21" s="382">
        <f>Ongoing_Dev!$J$57</f>
        <v>0</v>
      </c>
      <c r="G21" s="537">
        <f>IF(E21=0,0,E21/$E$25)</f>
        <v>0</v>
      </c>
      <c r="H21" s="181" t="s">
        <v>375</v>
      </c>
    </row>
    <row r="22" spans="2:9" x14ac:dyDescent="0.3">
      <c r="B22" s="597"/>
      <c r="C22" s="383" t="s">
        <v>4</v>
      </c>
      <c r="D22" s="272"/>
      <c r="E22" s="357">
        <f>Ongoing_Dev!$J$58</f>
        <v>0</v>
      </c>
      <c r="G22" s="537">
        <f t="shared" ref="G22:G25" si="1">IF(E22=0,0,E22/$E$25)</f>
        <v>0</v>
      </c>
      <c r="H22" s="181" t="s">
        <v>375</v>
      </c>
    </row>
    <row r="23" spans="2:9" x14ac:dyDescent="0.3">
      <c r="B23" s="597"/>
      <c r="C23" s="383" t="s">
        <v>5</v>
      </c>
      <c r="D23" s="272"/>
      <c r="E23" s="357">
        <f>Ongoing_Dev!$J$59</f>
        <v>0</v>
      </c>
      <c r="G23" s="537">
        <f t="shared" si="1"/>
        <v>0</v>
      </c>
      <c r="H23" s="181" t="s">
        <v>375</v>
      </c>
    </row>
    <row r="24" spans="2:9" x14ac:dyDescent="0.3">
      <c r="B24" s="597"/>
      <c r="C24" s="383" t="s">
        <v>3</v>
      </c>
      <c r="D24" s="272"/>
      <c r="E24" s="357">
        <f>Ongoing_Dev!$J$60</f>
        <v>0</v>
      </c>
      <c r="G24" s="537">
        <f t="shared" si="1"/>
        <v>0</v>
      </c>
      <c r="H24" s="181" t="s">
        <v>375</v>
      </c>
    </row>
    <row r="25" spans="2:9" x14ac:dyDescent="0.3">
      <c r="B25" s="597"/>
      <c r="C25" s="374" t="s">
        <v>316</v>
      </c>
      <c r="D25" s="272"/>
      <c r="E25" s="376">
        <f>SUM(E21:E24)</f>
        <v>0</v>
      </c>
      <c r="G25" s="537">
        <f t="shared" si="1"/>
        <v>0</v>
      </c>
      <c r="H25" s="181"/>
    </row>
    <row r="26" spans="2:9" ht="5.55" customHeight="1" thickBot="1" x14ac:dyDescent="0.35">
      <c r="B26" s="597"/>
      <c r="C26" s="379"/>
      <c r="D26" s="380"/>
      <c r="E26" s="381"/>
      <c r="G26" s="179"/>
      <c r="H26" s="181"/>
    </row>
    <row r="27" spans="2:9" ht="15.6" thickTop="1" thickBot="1" x14ac:dyDescent="0.35">
      <c r="B27" s="598"/>
      <c r="C27" s="18" t="s">
        <v>315</v>
      </c>
      <c r="D27" s="274"/>
      <c r="E27" s="375">
        <f ca="1">$E$18+$E$25</f>
        <v>0</v>
      </c>
      <c r="G27" s="180"/>
    </row>
    <row r="28" spans="2:9" ht="14.55" x14ac:dyDescent="0.35">
      <c r="B28" s="214" t="s">
        <v>178</v>
      </c>
      <c r="C28" s="215">
        <f ca="1">SUM(E14:E17,E25)-E27+(Ongoing_Dev!$J$41+Ongoing_Dev!$J$61)-E27+E18-Ongoing_Dev!$J$41</f>
        <v>0</v>
      </c>
      <c r="D28" s="215">
        <f>E6-Historical_Rev!$N$74</f>
        <v>0</v>
      </c>
      <c r="E28" s="215">
        <f>E7-Historical_FTE!$C$38</f>
        <v>0</v>
      </c>
      <c r="F28" s="215">
        <f ca="1">Historical_COCOMO!$D$40-$E$9</f>
        <v>0</v>
      </c>
      <c r="G28" s="215">
        <f t="array" aca="1" ref="G28" ca="1">IF(SUM(E6:E9)=0,0,AVERAGEIF(E6:E9,"&lt;&gt;0",E6:E9)-E11)</f>
        <v>0</v>
      </c>
      <c r="H28" s="377">
        <f ca="1">(Ongoing_Dev!$J$41+Ongoing_Dev!$J$61)-SUM($E$14:$E$17,$E$21:$E$24)</f>
        <v>0</v>
      </c>
      <c r="I28" s="166">
        <f ca="1">Historical_Rev!$N$74+Historical_FTE!$C$38+Historical_COCOMO!$D$37+Historical_COCOMO!$D$40-SUM(E6:E9)+(Ongoing_Dev!$J$41+Ongoing_Dev!$J$61)-SUM($E$14:$E$17,$E$21:$E$24)</f>
        <v>0</v>
      </c>
    </row>
    <row r="29" spans="2:9" ht="14.55" x14ac:dyDescent="0.35">
      <c r="H29" s="378"/>
    </row>
    <row r="30" spans="2:9" ht="14.55" x14ac:dyDescent="0.35">
      <c r="B30" s="34" t="s">
        <v>182</v>
      </c>
      <c r="H30" s="378"/>
    </row>
    <row r="31" spans="2:9" ht="6" customHeight="1" x14ac:dyDescent="0.3">
      <c r="B31" s="34"/>
    </row>
    <row r="32" spans="2:9" x14ac:dyDescent="0.3">
      <c r="B32" t="s">
        <v>387</v>
      </c>
    </row>
    <row r="33" spans="1:3" x14ac:dyDescent="0.3">
      <c r="B33" t="s">
        <v>489</v>
      </c>
    </row>
    <row r="34" spans="1:3" ht="6" customHeight="1" x14ac:dyDescent="0.3"/>
    <row r="35" spans="1:3" x14ac:dyDescent="0.3">
      <c r="A35" s="34"/>
      <c r="B35" s="177" t="s">
        <v>183</v>
      </c>
    </row>
    <row r="36" spans="1:3" x14ac:dyDescent="0.3">
      <c r="A36" s="34"/>
      <c r="B36" s="164" t="s">
        <v>186</v>
      </c>
      <c r="C36" s="217" t="s">
        <v>490</v>
      </c>
    </row>
    <row r="37" spans="1:3" x14ac:dyDescent="0.3">
      <c r="A37" s="34"/>
      <c r="B37" s="164"/>
      <c r="C37" s="217" t="s">
        <v>356</v>
      </c>
    </row>
    <row r="38" spans="1:3" x14ac:dyDescent="0.3">
      <c r="A38" s="34"/>
      <c r="B38" s="164"/>
      <c r="C38" s="217" t="s">
        <v>491</v>
      </c>
    </row>
    <row r="39" spans="1:3" x14ac:dyDescent="0.3">
      <c r="A39" s="34"/>
      <c r="B39" s="164" t="s">
        <v>187</v>
      </c>
      <c r="C39" t="s">
        <v>492</v>
      </c>
    </row>
    <row r="40" spans="1:3" x14ac:dyDescent="0.3">
      <c r="A40" s="34"/>
      <c r="B40" s="164"/>
      <c r="C40" t="s">
        <v>493</v>
      </c>
    </row>
    <row r="41" spans="1:3" x14ac:dyDescent="0.3">
      <c r="B41" s="164" t="s">
        <v>188</v>
      </c>
      <c r="C41" s="442" t="s">
        <v>494</v>
      </c>
    </row>
    <row r="42" spans="1:3" x14ac:dyDescent="0.3">
      <c r="B42" s="119"/>
      <c r="C42" s="119" t="s">
        <v>495</v>
      </c>
    </row>
    <row r="43" spans="1:3" x14ac:dyDescent="0.3">
      <c r="B43" s="177" t="s">
        <v>184</v>
      </c>
    </row>
    <row r="44" spans="1:3" x14ac:dyDescent="0.3">
      <c r="B44" s="217" t="s">
        <v>206</v>
      </c>
    </row>
    <row r="45" spans="1:3" x14ac:dyDescent="0.3">
      <c r="B45" s="217" t="s">
        <v>185</v>
      </c>
    </row>
    <row r="46" spans="1:3" x14ac:dyDescent="0.3">
      <c r="B46" s="217" t="s">
        <v>521</v>
      </c>
    </row>
    <row r="47" spans="1:3" x14ac:dyDescent="0.3">
      <c r="B47" s="217" t="s">
        <v>520</v>
      </c>
    </row>
    <row r="49" spans="2:2" x14ac:dyDescent="0.3">
      <c r="B49" s="216" t="s">
        <v>192</v>
      </c>
    </row>
  </sheetData>
  <sheetProtection algorithmName="SHA-512" hashValue="JRooRU9UA/ULirUWOuD2NH16EdfvjKCOQ9syIC3KNsjdJof8R9/whCUhG5bpEpFZTqVU2pFcZBElcEXQG7ioXw==" saltValue="exqRCwGDIzaWd10NoNp/uA==" spinCount="100000" sheet="1" objects="1" scenarios="1"/>
  <mergeCells count="2">
    <mergeCell ref="B13:B27"/>
    <mergeCell ref="B6:B11"/>
  </mergeCells>
  <pageMargins left="0.7" right="0.7" top="0.75" bottom="0.75" header="0.3" footer="0.3"/>
  <pageSetup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8"/>
  <sheetViews>
    <sheetView showGridLines="0" workbookViewId="0"/>
  </sheetViews>
  <sheetFormatPr defaultRowHeight="14.4" x14ac:dyDescent="0.3"/>
  <sheetData>
    <row r="8" spans="2:2" x14ac:dyDescent="0.3">
      <c r="B8" s="34" t="s">
        <v>142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7"/>
  <sheetViews>
    <sheetView showGridLines="0" zoomScale="85" zoomScaleNormal="85" workbookViewId="0">
      <pane ySplit="2" topLeftCell="A3" activePane="bottomLeft" state="frozen"/>
      <selection activeCell="B7" sqref="B7"/>
      <selection pane="bottomLeft"/>
    </sheetView>
  </sheetViews>
  <sheetFormatPr defaultRowHeight="14.4" x14ac:dyDescent="0.3"/>
  <cols>
    <col min="1" max="1" width="3.88671875" customWidth="1"/>
    <col min="12" max="12" width="8.21875" customWidth="1"/>
    <col min="13" max="13" width="11" bestFit="1" customWidth="1"/>
    <col min="16" max="16" width="11" bestFit="1" customWidth="1"/>
    <col min="17" max="20" width="12.44140625" bestFit="1" customWidth="1"/>
  </cols>
  <sheetData>
    <row r="2" spans="2:20" ht="14.55" x14ac:dyDescent="0.35">
      <c r="B2" s="34" t="str">
        <f>"Summary of Retrospective Results for "&amp;'Inputs--&gt;'!$C$7</f>
        <v>Summary of Retrospective Results for [ sample GG ]</v>
      </c>
    </row>
    <row r="3" spans="2:20" ht="14.55" x14ac:dyDescent="0.35">
      <c r="B3" s="138" t="str">
        <f>"As of "&amp;TEXT('Inputs--&gt;'!$C$8,"MMMMMM yyyy")</f>
        <v>As of May 2019</v>
      </c>
      <c r="P3" s="37" t="s">
        <v>71</v>
      </c>
      <c r="Q3" s="38"/>
      <c r="R3" s="38"/>
      <c r="S3" s="38"/>
      <c r="T3" s="39"/>
    </row>
    <row r="4" spans="2:20" ht="14.55" x14ac:dyDescent="0.35">
      <c r="B4" s="34"/>
      <c r="P4" s="40" t="s">
        <v>370</v>
      </c>
      <c r="Q4" s="506" t="str">
        <f ca="1">Results_Summary!$E$10</f>
        <v>Not Applicable</v>
      </c>
      <c r="R4" s="506" t="str">
        <f ca="1">Results_Summary!$E$10</f>
        <v>Not Applicable</v>
      </c>
      <c r="S4" s="506" t="str">
        <f ca="1">Results_Summary!$E$10</f>
        <v>Not Applicable</v>
      </c>
      <c r="T4" s="507" t="str">
        <f ca="1">Results_Summary!$E$10</f>
        <v>Not Applicable</v>
      </c>
    </row>
    <row r="5" spans="2:20" x14ac:dyDescent="0.3">
      <c r="B5" s="505" t="s">
        <v>438</v>
      </c>
    </row>
    <row r="6" spans="2:20" x14ac:dyDescent="0.3">
      <c r="B6" s="102" t="s">
        <v>439</v>
      </c>
    </row>
    <row r="7" spans="2:20" x14ac:dyDescent="0.3">
      <c r="B7" s="102" t="s">
        <v>440</v>
      </c>
    </row>
  </sheetData>
  <pageMargins left="0.7" right="0.7" top="0.75" bottom="0.75" header="0.3" footer="0.3"/>
  <pageSetup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8"/>
  <sheetViews>
    <sheetView showGridLines="0" zoomScale="85" zoomScaleNormal="85" workbookViewId="0">
      <pane ySplit="2" topLeftCell="A3" activePane="bottomLeft" state="frozen"/>
      <selection activeCell="B7" sqref="B7"/>
      <selection pane="bottomLeft"/>
    </sheetView>
  </sheetViews>
  <sheetFormatPr defaultColWidth="8.77734375" defaultRowHeight="13.2" x14ac:dyDescent="0.25"/>
  <cols>
    <col min="1" max="1" width="3.88671875" style="31" customWidth="1"/>
    <col min="2" max="8" width="8.77734375" style="31"/>
    <col min="9" max="10" width="8.77734375" style="32"/>
    <col min="11" max="11" width="8.77734375" style="31"/>
    <col min="12" max="15" width="11.33203125" style="31" customWidth="1"/>
    <col min="16" max="16" width="30.109375" style="31" customWidth="1"/>
    <col min="17" max="18" width="10.21875" style="31" customWidth="1"/>
    <col min="19" max="23" width="12.77734375" style="31" bestFit="1" customWidth="1"/>
    <col min="24" max="16384" width="8.77734375" style="31"/>
  </cols>
  <sheetData>
    <row r="2" spans="2:26" ht="14.55" customHeight="1" x14ac:dyDescent="0.35">
      <c r="B2" s="34" t="str">
        <f>"Summary of Ongoing Development Estimation for "&amp;'Inputs--&gt;'!$C$7</f>
        <v>Summary of Ongoing Development Estimation for [ sample GG ]</v>
      </c>
      <c r="I2" s="31"/>
      <c r="J2" s="31"/>
      <c r="P2" s="171" t="s">
        <v>72</v>
      </c>
      <c r="Q2" s="172" t="s">
        <v>250</v>
      </c>
      <c r="R2" s="172" t="s">
        <v>53</v>
      </c>
      <c r="S2" s="172" t="s">
        <v>54</v>
      </c>
      <c r="T2" s="173" t="s">
        <v>3</v>
      </c>
      <c r="U2" s="173" t="s">
        <v>1</v>
      </c>
      <c r="V2" s="226" t="s">
        <v>55</v>
      </c>
      <c r="W2" s="227"/>
      <c r="X2" s="227"/>
      <c r="Y2" s="227"/>
      <c r="Z2" s="228"/>
    </row>
    <row r="3" spans="2:26" s="32" customFormat="1" ht="14.55" x14ac:dyDescent="0.35">
      <c r="B3" s="138" t="str">
        <f>"As of "&amp;TEXT('Inputs--&gt;'!$C$8,"MMMMMM yyyy")</f>
        <v>As of May 2019</v>
      </c>
      <c r="P3" s="118" t="s">
        <v>106</v>
      </c>
      <c r="Q3" s="266">
        <v>0</v>
      </c>
      <c r="R3" s="267">
        <f ca="1">SUM(Q4:Q5)</f>
        <v>0</v>
      </c>
      <c r="S3" s="267">
        <f ca="1">SUM(R3:R5)</f>
        <v>0</v>
      </c>
      <c r="T3" s="267">
        <f ca="1">SUM(S3:S5)</f>
        <v>0</v>
      </c>
      <c r="U3" s="268"/>
      <c r="V3" s="225">
        <f ca="1">R3</f>
        <v>0</v>
      </c>
      <c r="W3" s="222">
        <f ca="1">V3</f>
        <v>0</v>
      </c>
      <c r="X3" s="42"/>
      <c r="Y3" s="42"/>
      <c r="Z3" s="43"/>
    </row>
    <row r="4" spans="2:26" s="32" customFormat="1" ht="14.55" x14ac:dyDescent="0.35">
      <c r="B4" s="138"/>
      <c r="P4" s="174" t="s">
        <v>371</v>
      </c>
      <c r="Q4" s="269">
        <f ca="1">Ongoing_Dev!$J$37</f>
        <v>0</v>
      </c>
      <c r="R4" s="269">
        <f ca="1">Ongoing_Dev!$J$38</f>
        <v>0</v>
      </c>
      <c r="S4" s="269">
        <f ca="1">Ongoing_Dev!$J$39</f>
        <v>0</v>
      </c>
      <c r="T4" s="269">
        <f ca="1">Ongoing_Dev!$J$40</f>
        <v>0</v>
      </c>
      <c r="U4" s="220">
        <f ca="1">SUM(Q4:T4)</f>
        <v>0</v>
      </c>
      <c r="V4" s="41"/>
      <c r="W4" s="222">
        <f ca="1">S3</f>
        <v>0</v>
      </c>
      <c r="X4" s="222">
        <f ca="1">W4</f>
        <v>0</v>
      </c>
      <c r="Y4" s="42"/>
      <c r="Z4" s="43"/>
    </row>
    <row r="5" spans="2:26" s="32" customFormat="1" ht="14.4" x14ac:dyDescent="0.3">
      <c r="B5" s="505" t="s">
        <v>441</v>
      </c>
      <c r="P5" s="118" t="s">
        <v>372</v>
      </c>
      <c r="Q5" s="269">
        <f>Ongoing_Dev!$J$57</f>
        <v>0</v>
      </c>
      <c r="R5" s="269">
        <f>Ongoing_Dev!$J$58</f>
        <v>0</v>
      </c>
      <c r="S5" s="269">
        <f>Ongoing_Dev!$J$59</f>
        <v>0</v>
      </c>
      <c r="T5" s="269">
        <f>Ongoing_Dev!$J$60</f>
        <v>0</v>
      </c>
      <c r="U5" s="220">
        <f>SUM(Q5:T5)</f>
        <v>0</v>
      </c>
      <c r="V5" s="41"/>
      <c r="W5" s="42"/>
      <c r="X5" s="222">
        <f ca="1">T3</f>
        <v>0</v>
      </c>
      <c r="Y5" s="222">
        <f ca="1">X5</f>
        <v>0</v>
      </c>
      <c r="Z5" s="43"/>
    </row>
    <row r="6" spans="2:26" ht="14.4" x14ac:dyDescent="0.3">
      <c r="B6" s="505" t="s">
        <v>442</v>
      </c>
      <c r="I6" s="31"/>
      <c r="J6" s="31"/>
      <c r="P6" s="175" t="s">
        <v>1</v>
      </c>
      <c r="Q6" s="270">
        <f ca="1">SUM(Q4:Q5)</f>
        <v>0</v>
      </c>
      <c r="R6" s="270">
        <f ca="1">SUM(R4:R5)</f>
        <v>0</v>
      </c>
      <c r="S6" s="270">
        <f ca="1">SUM(S4:S5)</f>
        <v>0</v>
      </c>
      <c r="T6" s="270">
        <f ca="1">SUM(T4:T5)</f>
        <v>0</v>
      </c>
      <c r="U6" s="221">
        <f ca="1">SUM(U4:U5)</f>
        <v>0</v>
      </c>
      <c r="V6" s="44"/>
      <c r="W6" s="45"/>
      <c r="X6" s="45"/>
      <c r="Y6" s="223">
        <f ca="1">SUM(U4:U5)</f>
        <v>0</v>
      </c>
      <c r="Z6" s="224">
        <f ca="1">Y6</f>
        <v>0</v>
      </c>
    </row>
    <row r="7" spans="2:26" s="32" customFormat="1" ht="14.55" x14ac:dyDescent="0.35">
      <c r="B7" s="17" t="s">
        <v>388</v>
      </c>
      <c r="P7" s="165" t="s">
        <v>177</v>
      </c>
      <c r="Q7" s="166">
        <f ca="1">SUM(Q4:T4)-Ongoing_Dev!J41</f>
        <v>0</v>
      </c>
      <c r="R7" s="166">
        <f>SUM(Q5:T5)-Ongoing_Dev!J61</f>
        <v>0</v>
      </c>
      <c r="S7" s="166">
        <f ca="1">SUM(Q4:T5)-U6</f>
        <v>0</v>
      </c>
      <c r="U7" s="33"/>
      <c r="W7" s="42"/>
      <c r="X7" s="42"/>
      <c r="Y7" s="42"/>
      <c r="Z7" s="42"/>
    </row>
    <row r="8" spans="2:26" ht="14.4" x14ac:dyDescent="0.3">
      <c r="B8" s="505" t="s">
        <v>443</v>
      </c>
      <c r="F8" s="33"/>
    </row>
  </sheetData>
  <pageMargins left="0.75" right="0.75" top="1" bottom="1" header="0.5" footer="0.5"/>
  <pageSetup paperSize="9" scale="7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30"/>
  <sheetViews>
    <sheetView showGridLines="0" zoomScale="80" zoomScaleNormal="80" workbookViewId="0">
      <pane ySplit="2" topLeftCell="A3" activePane="bottomLeft" state="frozen"/>
      <selection activeCell="B7" sqref="B7"/>
      <selection pane="bottomLeft"/>
    </sheetView>
  </sheetViews>
  <sheetFormatPr defaultRowHeight="14.4" x14ac:dyDescent="0.3"/>
  <cols>
    <col min="1" max="1" width="4.88671875" customWidth="1"/>
    <col min="22" max="22" width="10.88671875" customWidth="1"/>
  </cols>
  <sheetData>
    <row r="2" spans="2:2" ht="14.55" x14ac:dyDescent="0.35">
      <c r="B2" s="34" t="str">
        <f>"Summary of FTE-based Development Estimation for "&amp;'Inputs--&gt;'!$C$7</f>
        <v>Summary of FTE-based Development Estimation for [ sample GG ]</v>
      </c>
    </row>
    <row r="3" spans="2:2" ht="14.55" x14ac:dyDescent="0.35">
      <c r="B3" s="138" t="str">
        <f>"As of "&amp;TEXT('Inputs--&gt;'!$C$8,"MMMMMM yyyy")</f>
        <v>As of May 2019</v>
      </c>
    </row>
    <row r="4" spans="2:2" ht="14.55" x14ac:dyDescent="0.35">
      <c r="B4" s="138"/>
    </row>
    <row r="5" spans="2:2" x14ac:dyDescent="0.3">
      <c r="B5" s="505" t="s">
        <v>444</v>
      </c>
    </row>
    <row r="6" spans="2:2" x14ac:dyDescent="0.3">
      <c r="B6" s="102" t="s">
        <v>445</v>
      </c>
    </row>
    <row r="7" spans="2:2" x14ac:dyDescent="0.3">
      <c r="B7" s="102" t="s">
        <v>446</v>
      </c>
    </row>
    <row r="8" spans="2:2" x14ac:dyDescent="0.3">
      <c r="B8" s="102" t="s">
        <v>447</v>
      </c>
    </row>
    <row r="9" spans="2:2" ht="14.55" x14ac:dyDescent="0.35">
      <c r="B9" s="508" t="s">
        <v>448</v>
      </c>
    </row>
    <row r="10" spans="2:2" ht="14.55" x14ac:dyDescent="0.35">
      <c r="B10" s="164" t="s">
        <v>390</v>
      </c>
    </row>
    <row r="11" spans="2:2" ht="14.55" x14ac:dyDescent="0.35">
      <c r="B11" s="164" t="s">
        <v>409</v>
      </c>
    </row>
    <row r="12" spans="2:2" ht="14.55" x14ac:dyDescent="0.35">
      <c r="B12" s="164" t="s">
        <v>246</v>
      </c>
    </row>
    <row r="13" spans="2:2" ht="14.55" x14ac:dyDescent="0.35">
      <c r="B13" s="164" t="s">
        <v>247</v>
      </c>
    </row>
    <row r="30" spans="20:20" ht="15.45" x14ac:dyDescent="0.35">
      <c r="T30" s="293"/>
    </row>
  </sheetData>
  <pageMargins left="0.25" right="0.25" top="0.75" bottom="0.75" header="0.3" footer="0.3"/>
  <pageSetup scale="53"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7:D8"/>
  <sheetViews>
    <sheetView showGridLines="0" workbookViewId="0"/>
  </sheetViews>
  <sheetFormatPr defaultRowHeight="14.4" x14ac:dyDescent="0.3"/>
  <cols>
    <col min="4" max="4" width="70.21875" customWidth="1"/>
  </cols>
  <sheetData>
    <row r="7" spans="2:4" ht="14.55" x14ac:dyDescent="0.35">
      <c r="C7" s="34"/>
      <c r="D7" s="34"/>
    </row>
    <row r="8" spans="2:4" x14ac:dyDescent="0.3">
      <c r="B8" s="34" t="s">
        <v>144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32"/>
  <sheetViews>
    <sheetView showGridLines="0" zoomScale="75" zoomScaleNormal="75" workbookViewId="0">
      <pane ySplit="2" topLeftCell="A3" activePane="bottomLeft" state="frozen"/>
      <selection pane="bottomLeft"/>
    </sheetView>
  </sheetViews>
  <sheetFormatPr defaultRowHeight="14.4" x14ac:dyDescent="0.3"/>
  <cols>
    <col min="1" max="1" width="4" customWidth="1"/>
    <col min="2" max="2" width="20.77734375" customWidth="1"/>
    <col min="3" max="3" width="46.21875" customWidth="1"/>
    <col min="4" max="4" width="41.77734375" customWidth="1"/>
    <col min="5" max="5" width="45.88671875" customWidth="1"/>
  </cols>
  <sheetData>
    <row r="2" spans="2:5" ht="15.45" x14ac:dyDescent="0.35">
      <c r="B2" s="16" t="s">
        <v>122</v>
      </c>
    </row>
    <row r="4" spans="2:5" ht="14.55" x14ac:dyDescent="0.35">
      <c r="B4" s="34" t="s">
        <v>99</v>
      </c>
      <c r="C4" s="17"/>
      <c r="D4" s="17"/>
    </row>
    <row r="5" spans="2:5" ht="7.95" customHeight="1" x14ac:dyDescent="0.35">
      <c r="B5" s="17"/>
      <c r="C5" s="17"/>
      <c r="D5" s="17"/>
    </row>
    <row r="6" spans="2:5" ht="14.55" x14ac:dyDescent="0.35">
      <c r="B6" s="612" t="s">
        <v>76</v>
      </c>
      <c r="C6" s="613"/>
      <c r="D6" s="614"/>
    </row>
    <row r="7" spans="2:5" ht="14.55" x14ac:dyDescent="0.35">
      <c r="B7" s="113" t="s">
        <v>77</v>
      </c>
      <c r="C7" s="70" t="s">
        <v>100</v>
      </c>
      <c r="D7" s="70" t="s">
        <v>101</v>
      </c>
    </row>
    <row r="8" spans="2:5" x14ac:dyDescent="0.3">
      <c r="B8" s="609" t="s">
        <v>78</v>
      </c>
      <c r="C8" s="71" t="s">
        <v>528</v>
      </c>
      <c r="D8" s="71" t="s">
        <v>530</v>
      </c>
    </row>
    <row r="9" spans="2:5" x14ac:dyDescent="0.3">
      <c r="B9" s="610"/>
      <c r="C9" s="71" t="s">
        <v>529</v>
      </c>
      <c r="D9" s="71" t="s">
        <v>80</v>
      </c>
    </row>
    <row r="10" spans="2:5" x14ac:dyDescent="0.3">
      <c r="B10" s="610"/>
      <c r="C10" s="71" t="s">
        <v>79</v>
      </c>
      <c r="D10" s="71"/>
    </row>
    <row r="11" spans="2:5" x14ac:dyDescent="0.3">
      <c r="B11" s="611"/>
      <c r="C11" s="71" t="s">
        <v>81</v>
      </c>
      <c r="D11" s="71"/>
    </row>
    <row r="12" spans="2:5" ht="14.55" x14ac:dyDescent="0.35">
      <c r="B12" s="17"/>
      <c r="C12" s="17"/>
      <c r="D12" s="17"/>
    </row>
    <row r="13" spans="2:5" ht="15.45" x14ac:dyDescent="0.35">
      <c r="B13" s="30" t="s">
        <v>102</v>
      </c>
    </row>
    <row r="14" spans="2:5" ht="7.95" customHeight="1" x14ac:dyDescent="0.35"/>
    <row r="15" spans="2:5" ht="14.55" x14ac:dyDescent="0.35">
      <c r="B15" s="93" t="s">
        <v>84</v>
      </c>
      <c r="C15" s="93" t="s">
        <v>82</v>
      </c>
      <c r="D15" s="93" t="s">
        <v>83</v>
      </c>
      <c r="E15" s="93" t="s">
        <v>531</v>
      </c>
    </row>
    <row r="16" spans="2:5" x14ac:dyDescent="0.3">
      <c r="B16" s="615" t="s">
        <v>6</v>
      </c>
      <c r="C16" s="607" t="s">
        <v>85</v>
      </c>
      <c r="D16" s="607" t="s">
        <v>86</v>
      </c>
      <c r="E16" s="62" t="s">
        <v>87</v>
      </c>
    </row>
    <row r="17" spans="2:5" ht="33.450000000000003" customHeight="1" x14ac:dyDescent="0.3">
      <c r="B17" s="616"/>
      <c r="C17" s="608"/>
      <c r="D17" s="608"/>
      <c r="E17" s="65" t="s">
        <v>88</v>
      </c>
    </row>
    <row r="18" spans="2:5" ht="16.95" customHeight="1" x14ac:dyDescent="0.3">
      <c r="B18" s="615" t="s">
        <v>89</v>
      </c>
      <c r="C18" s="605" t="s">
        <v>90</v>
      </c>
      <c r="D18" s="64" t="s">
        <v>91</v>
      </c>
      <c r="E18" s="60" t="s">
        <v>92</v>
      </c>
    </row>
    <row r="19" spans="2:5" ht="34.5" customHeight="1" x14ac:dyDescent="0.3">
      <c r="B19" s="616"/>
      <c r="C19" s="606"/>
      <c r="D19" s="63" t="s">
        <v>93</v>
      </c>
      <c r="E19" s="61" t="s">
        <v>522</v>
      </c>
    </row>
    <row r="20" spans="2:5" ht="39.450000000000003" customHeight="1" x14ac:dyDescent="0.3">
      <c r="B20" s="615" t="s">
        <v>94</v>
      </c>
      <c r="C20" s="68" t="s">
        <v>95</v>
      </c>
      <c r="D20" s="66" t="s">
        <v>96</v>
      </c>
      <c r="E20" s="603" t="s">
        <v>98</v>
      </c>
    </row>
    <row r="21" spans="2:5" ht="34.049999999999997" customHeight="1" x14ac:dyDescent="0.3">
      <c r="B21" s="616"/>
      <c r="C21" s="69" t="s">
        <v>97</v>
      </c>
      <c r="D21" s="67" t="s">
        <v>97</v>
      </c>
      <c r="E21" s="604"/>
    </row>
    <row r="23" spans="2:5" ht="15.45" x14ac:dyDescent="0.35">
      <c r="B23" s="30" t="s">
        <v>108</v>
      </c>
    </row>
    <row r="24" spans="2:5" ht="7.95" customHeight="1" x14ac:dyDescent="0.35">
      <c r="B24" s="30"/>
    </row>
    <row r="25" spans="2:5" ht="14.55" x14ac:dyDescent="0.35">
      <c r="B25" s="102" t="s">
        <v>118</v>
      </c>
    </row>
    <row r="26" spans="2:5" ht="14.55" x14ac:dyDescent="0.35">
      <c r="B26" s="102" t="s">
        <v>121</v>
      </c>
    </row>
    <row r="27" spans="2:5" ht="7.95" customHeight="1" x14ac:dyDescent="0.35"/>
    <row r="28" spans="2:5" ht="14.55" x14ac:dyDescent="0.35">
      <c r="B28" s="103" t="s">
        <v>111</v>
      </c>
      <c r="C28" s="103" t="s">
        <v>113</v>
      </c>
      <c r="D28" s="103" t="s">
        <v>117</v>
      </c>
    </row>
    <row r="29" spans="2:5" ht="14.55" x14ac:dyDescent="0.35">
      <c r="B29" s="110" t="s">
        <v>110</v>
      </c>
      <c r="C29" s="105" t="s">
        <v>119</v>
      </c>
      <c r="D29" s="106" t="s">
        <v>114</v>
      </c>
    </row>
    <row r="30" spans="2:5" ht="14.55" x14ac:dyDescent="0.35">
      <c r="B30" s="111" t="s">
        <v>112</v>
      </c>
      <c r="C30" s="104" t="s">
        <v>120</v>
      </c>
      <c r="D30" s="107" t="s">
        <v>115</v>
      </c>
    </row>
    <row r="31" spans="2:5" x14ac:dyDescent="0.3">
      <c r="B31" s="111" t="s">
        <v>5</v>
      </c>
      <c r="C31" s="104" t="s">
        <v>120</v>
      </c>
      <c r="D31" s="107" t="s">
        <v>109</v>
      </c>
    </row>
    <row r="32" spans="2:5" x14ac:dyDescent="0.3">
      <c r="B32" s="112" t="s">
        <v>3</v>
      </c>
      <c r="C32" s="108" t="s">
        <v>120</v>
      </c>
      <c r="D32" s="109" t="s">
        <v>116</v>
      </c>
    </row>
  </sheetData>
  <sheetProtection algorithmName="SHA-512" hashValue="8/hr0TFun1SP2q+tw/RvTVsZlGnBmNRMuusc395vp/IlRgv5TE2gi0Ac1OrYpHdyLmkQSA9cGsvqauAPDBuGkQ==" saltValue="Cie/4DBPiu4LqXeD2R8SEw==" spinCount="100000" sheet="1" objects="1" scenarios="1"/>
  <mergeCells count="9">
    <mergeCell ref="E20:E21"/>
    <mergeCell ref="C18:C19"/>
    <mergeCell ref="D16:D17"/>
    <mergeCell ref="B8:B11"/>
    <mergeCell ref="B6:D6"/>
    <mergeCell ref="B16:B17"/>
    <mergeCell ref="B18:B19"/>
    <mergeCell ref="B20:B21"/>
    <mergeCell ref="C16:C17"/>
  </mergeCells>
  <pageMargins left="0.7" right="0.7" top="0.75" bottom="0.75" header="0.3" footer="0.3"/>
  <pageSetup scale="5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90" zoomScaleNormal="90" workbookViewId="0"/>
  </sheetViews>
  <sheetFormatPr defaultRowHeight="14.4" x14ac:dyDescent="0.3"/>
  <cols>
    <col min="1" max="1" width="4" customWidth="1"/>
  </cols>
  <sheetData/>
  <sheetProtection algorithmName="SHA-512" hashValue="we75YGWzcxLvq7G1livIkTyr6MTk50nKAJ+xiPQ/6Fqnx36CvCe+gvxhWFOy1t+p5bikTTDR4oRQbEaVbC84CQ==" saltValue="gBLgGIAMoRqOU7vjdeiwSg==" spinCount="100000" sheet="1" objects="1" scenarios="1"/>
  <pageMargins left="0.7" right="0.7" top="0.75" bottom="0.75" header="0.3" footer="0.3"/>
  <pageSetup scale="6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90" zoomScaleNormal="90" workbookViewId="0"/>
  </sheetViews>
  <sheetFormatPr defaultRowHeight="14.4" x14ac:dyDescent="0.3"/>
  <cols>
    <col min="1" max="1" width="4" customWidth="1"/>
  </cols>
  <sheetData/>
  <sheetProtection algorithmName="SHA-512" hashValue="ngs6AVjgdkDQ2iO8e0FKfS9NeRTxfWqcavD5jRahJfka1dALgGhXqRNE5cEhXqFfnxYvXgf6Ir2iZPHnNqbd0Q==" saltValue="XHMjFqS8dAnyAn/9kOQVcA==" spinCount="100000" sheet="1" objects="1" scenarios="1"/>
  <pageMargins left="0.7" right="0.7" top="0.75" bottom="0.75" header="0.3" footer="0.3"/>
  <pageSetup scale="6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7:H87"/>
  <sheetViews>
    <sheetView showGridLines="0" zoomScale="90" zoomScaleNormal="90" workbookViewId="0"/>
  </sheetViews>
  <sheetFormatPr defaultRowHeight="14.4" x14ac:dyDescent="0.3"/>
  <cols>
    <col min="1" max="1" width="4" customWidth="1"/>
  </cols>
  <sheetData>
    <row r="67" spans="2:8" x14ac:dyDescent="0.3">
      <c r="G67" s="11"/>
      <c r="H67" s="11"/>
    </row>
    <row r="68" spans="2:8" x14ac:dyDescent="0.3">
      <c r="G68" s="11"/>
      <c r="H68" s="11"/>
    </row>
    <row r="69" spans="2:8" ht="15.6" x14ac:dyDescent="0.3">
      <c r="B69" s="26"/>
      <c r="C69" s="11"/>
      <c r="D69" s="11"/>
      <c r="E69" s="11"/>
      <c r="F69" s="11"/>
      <c r="G69" s="11"/>
      <c r="H69" s="11"/>
    </row>
    <row r="80" spans="2:8" x14ac:dyDescent="0.3">
      <c r="E80" s="11"/>
      <c r="F80" s="11"/>
    </row>
    <row r="81" spans="2:6" x14ac:dyDescent="0.3">
      <c r="E81" s="11"/>
      <c r="F81" s="11"/>
    </row>
    <row r="82" spans="2:6" x14ac:dyDescent="0.3">
      <c r="B82" s="11" t="s">
        <v>376</v>
      </c>
    </row>
    <row r="83" spans="2:6" x14ac:dyDescent="0.3">
      <c r="C83" t="s">
        <v>377</v>
      </c>
    </row>
    <row r="84" spans="2:6" x14ac:dyDescent="0.3">
      <c r="C84" s="443" t="s">
        <v>524</v>
      </c>
    </row>
    <row r="85" spans="2:6" x14ac:dyDescent="0.3">
      <c r="C85" t="s">
        <v>378</v>
      </c>
    </row>
    <row r="86" spans="2:6" x14ac:dyDescent="0.3">
      <c r="C86" s="17" t="s">
        <v>379</v>
      </c>
    </row>
    <row r="87" spans="2:6" x14ac:dyDescent="0.3">
      <c r="C87" s="17" t="s">
        <v>523</v>
      </c>
    </row>
  </sheetData>
  <sheetProtection algorithmName="SHA-512" hashValue="isg6LKs5gJOi9ZhhaPiJeqtcN2cwK4awGKD8sJq0xOa+OD0H1oTcotLS2NkjUdeZ+Z0ErHj07Dvh1sp1Ot811Q==" saltValue="PvmCSmrqD+6+oBWtyr6Hcw==" spinCount="100000" sheet="1" objects="1" scenarios="1"/>
  <pageMargins left="0.7" right="0.7" top="0.75" bottom="0.75" header="0.3" footer="0.3"/>
  <pageSetup scale="5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
  <sheetViews>
    <sheetView showGridLines="0" zoomScale="90" zoomScaleNormal="90" workbookViewId="0"/>
  </sheetViews>
  <sheetFormatPr defaultRowHeight="14.4" x14ac:dyDescent="0.3"/>
  <cols>
    <col min="1" max="1" width="4" customWidth="1"/>
    <col min="2" max="2" width="20.77734375" customWidth="1"/>
  </cols>
  <sheetData>
    <row r="2" spans="2:2" ht="15.45" x14ac:dyDescent="0.35">
      <c r="B2" s="16"/>
    </row>
  </sheetData>
  <sheetProtection algorithmName="SHA-512" hashValue="LUe10gNbsnNCsfItTP8X9qM/0T1HtdZwcG9PVZmhXm25v5/3Hj1pYPjoru22b22SRa90n3IEODeAbRSJxcGclA==" saltValue="Kk4JR1TUkHValKQOkw0Jew==" spinCount="100000" sheet="1" objects="1" scenarios="1"/>
  <pageMargins left="0.7" right="0.7" top="0.75" bottom="0.75" header="0.3" footer="0.3"/>
  <pageSetup scale="6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13</vt:i4>
      </vt:variant>
    </vt:vector>
  </HeadingPairs>
  <TitlesOfParts>
    <vt:vector size="35" baseType="lpstr">
      <vt:lpstr>Introduction</vt:lpstr>
      <vt:lpstr>Instructions</vt:lpstr>
      <vt:lpstr>ChangeLog</vt:lpstr>
      <vt:lpstr>Assumptions</vt:lpstr>
      <vt:lpstr>Inputs--&gt;</vt:lpstr>
      <vt:lpstr>Historical_Rev</vt:lpstr>
      <vt:lpstr>Historical_FTE</vt:lpstr>
      <vt:lpstr>Historical_COCOMO</vt:lpstr>
      <vt:lpstr>InterimSummary</vt:lpstr>
      <vt:lpstr>Ongoing_Dev</vt:lpstr>
      <vt:lpstr>Output--&gt;</vt:lpstr>
      <vt:lpstr>Results_Summary</vt:lpstr>
      <vt:lpstr>Visuals--&gt;</vt:lpstr>
      <vt:lpstr>Summary_Retro</vt:lpstr>
      <vt:lpstr>Summary_Ongoing</vt:lpstr>
      <vt:lpstr>Summary_FTEs</vt:lpstr>
      <vt:lpstr>Background--&gt;</vt:lpstr>
      <vt:lpstr>Approach</vt:lpstr>
      <vt:lpstr>Retro_FTE_desc</vt:lpstr>
      <vt:lpstr>Retro_Rev_desc</vt:lpstr>
      <vt:lpstr>Retro_COCOMO_desc</vt:lpstr>
      <vt:lpstr>Ongoing_Desc</vt:lpstr>
      <vt:lpstr>Historical_COCOMO!MODP</vt:lpstr>
      <vt:lpstr>Assumptions!Print_Area</vt:lpstr>
      <vt:lpstr>ChangeLog!Print_Area</vt:lpstr>
      <vt:lpstr>Instructions!Print_Area</vt:lpstr>
      <vt:lpstr>InterimSummary!Print_Area</vt:lpstr>
      <vt:lpstr>Introduction!Print_Area</vt:lpstr>
      <vt:lpstr>Ongoing_Dev!Print_Area</vt:lpstr>
      <vt:lpstr>Results_Summary!Print_Area</vt:lpstr>
      <vt:lpstr>Retro_FTE_desc!Print_Area</vt:lpstr>
      <vt:lpstr>Retro_Rev_desc!Print_Area</vt:lpstr>
      <vt:lpstr>Summary_FTEs!Print_Area</vt:lpstr>
      <vt:lpstr>Summary_Ongoing!Print_Area</vt:lpstr>
      <vt:lpstr>Summary_Retro!Print_Area</vt:lpstr>
    </vt:vector>
  </TitlesOfParts>
  <Company>The Boston Consulting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USAID Gobal Health;DRAFT</dc:creator>
  <cp:lastModifiedBy>Rahima Dosani</cp:lastModifiedBy>
  <cp:lastPrinted>2019-05-22T18:26:52Z</cp:lastPrinted>
  <dcterms:created xsi:type="dcterms:W3CDTF">2017-05-02T14:13:30Z</dcterms:created>
  <dcterms:modified xsi:type="dcterms:W3CDTF">2019-07-09T18:34:05Z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